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<sst xmlns="http://schemas.openxmlformats.org/spreadsheetml/2006/main" count="233" uniqueCount="111">
  <si>
    <t>магнитных полупроводников</t>
  </si>
  <si>
    <t>рентгеновской спектроскопии</t>
  </si>
  <si>
    <t>низких температур</t>
  </si>
  <si>
    <t>дефектоскопии</t>
  </si>
  <si>
    <t>диффузии</t>
  </si>
  <si>
    <t>физического металловедения</t>
  </si>
  <si>
    <t>ферромагнитных сплавов</t>
  </si>
  <si>
    <t>полупроводников и полуметаллов</t>
  </si>
  <si>
    <t>электрических явлений</t>
  </si>
  <si>
    <t>физики высоких давлений</t>
  </si>
  <si>
    <t>кинетических явлений</t>
  </si>
  <si>
    <t>оптики металлов</t>
  </si>
  <si>
    <t>микромагнетизма</t>
  </si>
  <si>
    <t>Лаборатория, организация</t>
  </si>
  <si>
    <t>Итог</t>
  </si>
  <si>
    <t>Отчет по выдаче жидкого азота</t>
  </si>
  <si>
    <t>прикладного магнетизма</t>
  </si>
  <si>
    <t>механических свойств</t>
  </si>
  <si>
    <t>магнитных измерений</t>
  </si>
  <si>
    <t>Шишкин</t>
  </si>
  <si>
    <t>электронной микроскопии</t>
  </si>
  <si>
    <t>Данилов</t>
  </si>
  <si>
    <t>Грибов</t>
  </si>
  <si>
    <t>Неверов</t>
  </si>
  <si>
    <t>???</t>
  </si>
  <si>
    <t>нанокомпозитных мультиферроиков</t>
  </si>
  <si>
    <t>Носов</t>
  </si>
  <si>
    <t>квантовой наноспинтроники</t>
  </si>
  <si>
    <t>Телегин</t>
  </si>
  <si>
    <t>Королев</t>
  </si>
  <si>
    <t>Протасов</t>
  </si>
  <si>
    <t>10.01.2018</t>
  </si>
  <si>
    <t>17.01.2018</t>
  </si>
  <si>
    <t>28.03.2018</t>
  </si>
  <si>
    <t>19.01.2018</t>
  </si>
  <si>
    <t>24.01.2018</t>
  </si>
  <si>
    <t>31.01.2018</t>
  </si>
  <si>
    <t>07.02.2018</t>
  </si>
  <si>
    <t>14.02.2018</t>
  </si>
  <si>
    <t>05.02.2018</t>
  </si>
  <si>
    <t>21.02.2018</t>
  </si>
  <si>
    <t>28.02.2018</t>
  </si>
  <si>
    <t>07.03.2018</t>
  </si>
  <si>
    <t>14.03.2018</t>
  </si>
  <si>
    <t>19.03.2018</t>
  </si>
  <si>
    <t>04.04.2018</t>
  </si>
  <si>
    <t>10.04.2018</t>
  </si>
  <si>
    <t>11.04.2018</t>
  </si>
  <si>
    <t>18.04.2018</t>
  </si>
  <si>
    <t>25.04.2018</t>
  </si>
  <si>
    <t>3.05.2018</t>
  </si>
  <si>
    <t>10.05.2018</t>
  </si>
  <si>
    <t>16.05.2018</t>
  </si>
  <si>
    <t>23.05.2018</t>
  </si>
  <si>
    <t>24.05.2018</t>
  </si>
  <si>
    <t>30.05.2018</t>
  </si>
  <si>
    <t>4.06.2018</t>
  </si>
  <si>
    <t>6.06.2018</t>
  </si>
  <si>
    <t>13.06.2018</t>
  </si>
  <si>
    <t>70брал Неверов</t>
  </si>
  <si>
    <t>18.06.2018</t>
  </si>
  <si>
    <t>20.06.2018</t>
  </si>
  <si>
    <t>27.06.2017</t>
  </si>
  <si>
    <t>25.06.2018</t>
  </si>
  <si>
    <t>04.07.2018</t>
  </si>
  <si>
    <t>11.07.2018</t>
  </si>
  <si>
    <t>19.07.2018</t>
  </si>
  <si>
    <t>25.07.2018</t>
  </si>
  <si>
    <t>01.08.2018</t>
  </si>
  <si>
    <t>08.08.2018</t>
  </si>
  <si>
    <t>15.08.2018</t>
  </si>
  <si>
    <t>22.08.2018</t>
  </si>
  <si>
    <t>29.08.2018</t>
  </si>
  <si>
    <t>03.09.2018</t>
  </si>
  <si>
    <t>05.09.2018</t>
  </si>
  <si>
    <t>12.09.2018</t>
  </si>
  <si>
    <t>19.09.2018</t>
  </si>
  <si>
    <t>26.09.2018</t>
  </si>
  <si>
    <t>01.10.2018</t>
  </si>
  <si>
    <t>03.10.2018</t>
  </si>
  <si>
    <t>10.10.2018</t>
  </si>
  <si>
    <t>18.07.2018</t>
  </si>
  <si>
    <t>11.10.2018</t>
  </si>
  <si>
    <t>17.10.2018</t>
  </si>
  <si>
    <t>24.10.2018</t>
  </si>
  <si>
    <t>31.10.2018</t>
  </si>
  <si>
    <t>07.11.2018</t>
  </si>
  <si>
    <t>14.11.2018</t>
  </si>
  <si>
    <t>21.11.2018</t>
  </si>
  <si>
    <t>28.11.2018</t>
  </si>
  <si>
    <t>05.12.2018</t>
  </si>
  <si>
    <t>12.12.2018</t>
  </si>
  <si>
    <t>19.12.2018</t>
  </si>
  <si>
    <t>23.12.2018</t>
  </si>
  <si>
    <t>26.12.2018</t>
  </si>
  <si>
    <t>нанокомпозитных мультиферроиков (Данилов)</t>
  </si>
  <si>
    <t>магнитных измерений (Королев)</t>
  </si>
  <si>
    <t>нанокомпозитных мультиферроиков (Грибов)</t>
  </si>
  <si>
    <t>нанокомпозитных мультиферроиков  (Носов)</t>
  </si>
  <si>
    <t>магнитных измерений (Протасов)</t>
  </si>
  <si>
    <t>магнитных измерений (Шишкин)</t>
  </si>
  <si>
    <t>квантовой наноспинтроники (Телегин)</t>
  </si>
  <si>
    <t>??? (Неверов)</t>
  </si>
  <si>
    <t>Среднее кол-во за получение (ед. измер.)</t>
  </si>
  <si>
    <t xml:space="preserve">Количество получений (ед. измер.) </t>
  </si>
  <si>
    <t>Всего
(ед. измер.)</t>
  </si>
  <si>
    <t>(л)</t>
  </si>
  <si>
    <t>(пол);</t>
  </si>
  <si>
    <t>(л/пол);</t>
  </si>
  <si>
    <t>(%);</t>
  </si>
  <si>
    <t>отдел криогенных 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</si>
</sst>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/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textRotation="90"/>
    </xf>
    <xf numFmtId="0" fontId="0" fillId="0" borderId="0" xfId="0" applyFill="1"/>
    <xf numFmtId="14" fontId="0" fillId="0" borderId="1" xfId="0" applyNumberFormat="1" applyBorder="1" applyAlignment="1">
      <alignment horizontal="center" vertical="center" textRotation="90"/>
    </xf>
    <xf numFmtId="14" fontId="0" fillId="0" borderId="0" xfId="0" applyNumberFormat="1" applyAlignment="1">
      <alignment horizontal="center" vertical="center" textRotation="90"/>
    </xf>
    <xf numFmtId="164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/>
    <xf numFmtId="164" fontId="0" fillId="0" borderId="0" xfId="0" applyNumberFormat="1" applyBorder="1" applyAlignment="1">
      <alignment horizontal="center" vertical="center"/>
    </xf>
    <xf numFmtId="0" fontId="4" fillId="0" borderId="2" xfId="20" applyFont="1" applyFill="1" applyBorder="1" applyAlignment="1">
      <alignment horizontal="left" vertical="justify" wrapText="1"/>
      <protection/>
    </xf>
    <xf numFmtId="0" fontId="6" fillId="0" borderId="2" xfId="0" applyFont="1" applyBorder="1" applyAlignment="1">
      <alignment horizontal="left" vertical="center"/>
    </xf>
    <xf numFmtId="0" fontId="4" fillId="0" borderId="2" xfId="20" applyFont="1" applyFill="1" applyBorder="1" applyAlignment="1">
      <alignment horizontal="left" vertical="justify" wrapText="1" shrinkToFit="1" readingOrder="1"/>
      <protection/>
    </xf>
    <xf numFmtId="0" fontId="4" fillId="0" borderId="3" xfId="20" applyFont="1" applyFill="1" applyBorder="1" applyAlignment="1">
      <alignment horizontal="left" vertical="justify" wrapText="1" shrinkToFit="1" readingOrder="1"/>
      <protection/>
    </xf>
    <xf numFmtId="0" fontId="4" fillId="0" borderId="3" xfId="20" applyFont="1" applyFill="1" applyBorder="1" applyAlignment="1">
      <alignment horizontal="left" vertical="justify" wrapText="1"/>
      <protection/>
    </xf>
    <xf numFmtId="0" fontId="4" fillId="0" borderId="3" xfId="20" applyFont="1" applyBorder="1" applyAlignment="1">
      <alignment horizontal="left" vertical="justify" wrapText="1"/>
      <protection/>
    </xf>
    <xf numFmtId="164" fontId="4" fillId="0" borderId="2" xfId="20" applyNumberFormat="1" applyFont="1" applyFill="1" applyBorder="1" applyAlignment="1">
      <alignment horizontal="left" vertical="justify" wrapText="1" shrinkToFit="1" readingOrder="1"/>
      <protection/>
    </xf>
    <xf numFmtId="0" fontId="4" fillId="0" borderId="2" xfId="0" applyFont="1" applyFill="1" applyBorder="1" applyAlignment="1">
      <alignment horizontal="left" vertical="justify" wrapText="1" shrinkToFit="1" readingOrder="1"/>
    </xf>
    <xf numFmtId="0" fontId="5" fillId="0" borderId="2" xfId="20" applyFont="1" applyBorder="1" applyAlignment="1">
      <alignment horizontal="left" vertical="center"/>
      <protection/>
    </xf>
    <xf numFmtId="164" fontId="1" fillId="0" borderId="4" xfId="20" applyNumberFormat="1" applyFont="1" applyFill="1" applyBorder="1" applyAlignment="1">
      <alignment horizontal="center" vertical="center" shrinkToFit="1" readingOrder="1"/>
      <protection/>
    </xf>
    <xf numFmtId="164" fontId="1" fillId="0" borderId="5" xfId="20" applyNumberFormat="1" applyFont="1" applyFill="1" applyBorder="1" applyAlignment="1">
      <alignment horizontal="center" vertical="center" shrinkToFit="1" readingOrder="1"/>
      <protection/>
    </xf>
    <xf numFmtId="49" fontId="0" fillId="0" borderId="4" xfId="0" applyNumberFormat="1" applyBorder="1" applyAlignment="1">
      <alignment horizontal="center" vertical="center" textRotation="90"/>
    </xf>
    <xf numFmtId="164" fontId="0" fillId="0" borderId="4" xfId="0" applyNumberForma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1" fillId="0" borderId="6" xfId="20" applyNumberFormat="1" applyFont="1" applyFill="1" applyBorder="1" applyAlignment="1">
      <alignment horizontal="right" vertical="center" shrinkToFit="1" readingOrder="1"/>
      <protection/>
    </xf>
    <xf numFmtId="164" fontId="0" fillId="0" borderId="6" xfId="0" applyNumberFormat="1" applyFont="1" applyFill="1" applyBorder="1" applyAlignment="1">
      <alignment horizontal="right" vertical="center"/>
    </xf>
    <xf numFmtId="2" fontId="1" fillId="0" borderId="6" xfId="20" applyNumberFormat="1" applyFont="1" applyFill="1" applyBorder="1" applyAlignment="1">
      <alignment horizontal="right" vertical="center" shrinkToFit="1" readingOrder="1"/>
      <protection/>
    </xf>
    <xf numFmtId="164" fontId="1" fillId="0" borderId="5" xfId="20" applyNumberFormat="1" applyFont="1" applyFill="1" applyBorder="1" applyAlignment="1">
      <alignment horizontal="left" vertical="center" shrinkToFit="1" readingOrder="1"/>
      <protection/>
    </xf>
    <xf numFmtId="164" fontId="0" fillId="0" borderId="5" xfId="0" applyNumberFormat="1" applyFont="1" applyFill="1" applyBorder="1" applyAlignment="1">
      <alignment horizontal="left" vertical="center"/>
    </xf>
    <xf numFmtId="1" fontId="1" fillId="0" borderId="6" xfId="20" applyNumberFormat="1" applyFont="1" applyFill="1" applyBorder="1" applyAlignment="1">
      <alignment horizontal="right" vertical="center" shrinkToFit="1" readingOrder="1"/>
      <protection/>
    </xf>
    <xf numFmtId="164" fontId="1" fillId="0" borderId="2" xfId="20" applyNumberFormat="1" applyFont="1" applyBorder="1" applyAlignment="1">
      <alignment horizontal="right" vertical="center"/>
      <protection/>
    </xf>
    <xf numFmtId="1" fontId="1" fillId="0" borderId="2" xfId="20" applyNumberFormat="1" applyFont="1" applyBorder="1" applyAlignment="1">
      <alignment horizontal="right" vertical="center"/>
      <protection/>
    </xf>
    <xf numFmtId="2" fontId="1" fillId="0" borderId="2" xfId="20" applyNumberFormat="1" applyFont="1" applyFill="1" applyBorder="1" applyAlignment="1">
      <alignment horizontal="right" vertical="center" shrinkToFit="1" readingOrder="1"/>
      <protection/>
    </xf>
    <xf numFmtId="164" fontId="1" fillId="0" borderId="4" xfId="20" applyNumberFormat="1" applyFont="1" applyFill="1" applyBorder="1" applyAlignment="1">
      <alignment horizontal="left" vertical="center" shrinkToFit="1" readingOrder="1"/>
      <protection/>
    </xf>
    <xf numFmtId="164" fontId="3" fillId="0" borderId="2" xfId="0" applyNumberFormat="1" applyFont="1" applyBorder="1" applyAlignment="1">
      <alignment horizontal="right" vertical="center"/>
    </xf>
    <xf numFmtId="164" fontId="0" fillId="0" borderId="4" xfId="0" applyNumberFormat="1" applyFont="1" applyFill="1" applyBorder="1" applyAlignment="1">
      <alignment horizontal="left" vertical="center"/>
    </xf>
    <xf numFmtId="164" fontId="1" fillId="0" borderId="2" xfId="20" applyNumberFormat="1" applyFont="1" applyFill="1" applyBorder="1" applyAlignment="1">
      <alignment horizontal="right" vertical="center" shrinkToFit="1" readingOrder="1"/>
      <protection/>
    </xf>
    <xf numFmtId="1" fontId="1" fillId="0" borderId="2" xfId="20" applyNumberFormat="1" applyFont="1" applyFill="1" applyBorder="1" applyAlignment="1">
      <alignment horizontal="right" vertical="center" shrinkToFit="1" readingOrder="1"/>
      <protection/>
    </xf>
    <xf numFmtId="164" fontId="0" fillId="0" borderId="2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 shrinkToFit="1"/>
    </xf>
    <xf numFmtId="0" fontId="0" fillId="0" borderId="7" xfId="0" applyFont="1" applyBorder="1" applyAlignment="1">
      <alignment horizontal="center" vertical="center" textRotation="90" wrapText="1" shrinkToFit="1"/>
    </xf>
    <xf numFmtId="0" fontId="7" fillId="0" borderId="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Потребление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азота за 2018 год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5525"/>
          <c:y val="0.23975"/>
          <c:w val="0.44175"/>
          <c:h val="0.60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5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6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7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8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9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1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2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3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29775"/>
                  <c:y val="-0.06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Calibri"/>
                        <a:ea typeface="Calibri"/>
                        <a:cs typeface="Calibri"/>
                      </a:rPr>
                      <a:t>[ИМЯ КАТЕГОРИИ]</a:t>
                    </a:r>
                    <a:r>
                      <a:rPr lang="en-US" cap="none" sz="900" b="0" i="0" u="non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[ПРОЦЕНТ]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9525" cap="flat" cmpd="sng">
                  <a:solidFill>
                    <a:srgbClr val="000000">
                      <a:lumMod val="25000"/>
                      <a:lumOff val="75000"/>
                    </a:srgbClr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14"/>
                  <c:y val="-0.044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>
                  <a:solidFill>
                    <a:srgbClr val="000000">
                      <a:lumMod val="25000"/>
                      <a:lumOff val="75000"/>
                    </a:srgbClr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4075"/>
                  <c:y val="-0.07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52"/>
                  <c:y val="-0.05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305"/>
                  <c:y val="0.05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7825"/>
                  <c:y val="0.10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175"/>
                  <c:y val="0.09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2725"/>
                  <c:y val="0.20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7175"/>
                  <c:y val="0.16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000000">
                      <a:lumMod val="25000"/>
                      <a:lumOff val="75000"/>
                    </a:srgbClr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8925"/>
                  <c:y val="0.25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24425"/>
                  <c:y val="0.2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-0.233"/>
                  <c:y val="0.18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-0.21925"/>
                  <c:y val="0.11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000000">
                      <a:lumMod val="25000"/>
                      <a:lumOff val="75000"/>
                    </a:srgbClr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-0.13825"/>
                  <c:y val="0.04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-0.1715"/>
                  <c:y val="0.00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-0.17175"/>
                  <c:y val="-0.03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-0.233"/>
                  <c:y val="-0.06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-0.23975"/>
                  <c:y val="-0.10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-0.22325"/>
                  <c:y val="-0.1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000000">
                      <a:lumMod val="25000"/>
                      <a:lumOff val="75000"/>
                    </a:srgbClr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-0.19825"/>
                  <c:y val="-0.2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-0.178"/>
                  <c:y val="-0.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000000">
                      <a:lumMod val="25000"/>
                      <a:lumOff val="75000"/>
                    </a:srgbClr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.10275"/>
                  <c:y val="-0.27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-0.043"/>
                  <c:y val="-0.26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000000">
                      <a:lumMod val="25000"/>
                      <a:lumOff val="75000"/>
                    </a:srgbClr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-0.0105"/>
                  <c:y val="-0.17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.06225"/>
                  <c:y val="-0.12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.217"/>
                  <c:y val="-0.21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Лист1!$A$3:$A$28</c:f>
              <c:strCache/>
            </c:strRef>
          </c:cat>
          <c:val>
            <c:numRef>
              <c:f>Лист1!$H$3:$H$28</c:f>
              <c:numCache/>
            </c:numRef>
          </c:val>
        </c:ser>
        <c:firstSliceAng val="298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32</xdr:row>
      <xdr:rowOff>38100</xdr:rowOff>
    </xdr:from>
    <xdr:to>
      <xdr:col>15</xdr:col>
      <xdr:colOff>276225</xdr:colOff>
      <xdr:row>72</xdr:row>
      <xdr:rowOff>95250</xdr:rowOff>
    </xdr:to>
    <xdr:graphicFrame macro="">
      <xdr:nvGraphicFramePr>
        <xdr:cNvPr id="10" name="Диаграмма 9"/>
        <xdr:cNvGraphicFramePr/>
      </xdr:nvGraphicFramePr>
      <xdr:xfrm>
        <a:off x="390525" y="7038975"/>
        <a:ext cx="1020127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0"/>
  <sheetViews>
    <sheetView tabSelected="1" workbookViewId="0" topLeftCell="A25">
      <selection activeCell="T43" sqref="T43"/>
    </sheetView>
  </sheetViews>
  <sheetFormatPr defaultColWidth="9.00390625" defaultRowHeight="12.75"/>
  <cols>
    <col min="1" max="1" width="50.125" style="0" customWidth="1"/>
    <col min="2" max="2" width="6.25390625" style="0" customWidth="1"/>
    <col min="3" max="3" width="7.125" style="0" customWidth="1"/>
    <col min="4" max="4" width="4.375" style="0" customWidth="1"/>
    <col min="5" max="5" width="5.875" style="0" customWidth="1"/>
    <col min="6" max="6" width="7.00390625" style="0" customWidth="1"/>
    <col min="7" max="7" width="5.00390625" style="0" customWidth="1"/>
    <col min="8" max="8" width="9.75390625" style="0" customWidth="1"/>
    <col min="9" max="9" width="4.625" style="0" customWidth="1"/>
    <col min="10" max="75" width="5.875" style="0" customWidth="1"/>
  </cols>
  <sheetData>
    <row r="1" spans="1:75" ht="20.25">
      <c r="A1" s="45" t="s">
        <v>15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8"/>
    </row>
    <row r="2" spans="1:75" ht="57.75" customHeight="1">
      <c r="A2" s="13" t="s">
        <v>13</v>
      </c>
      <c r="B2" s="41" t="s">
        <v>103</v>
      </c>
      <c r="C2" s="42"/>
      <c r="D2" s="41" t="s">
        <v>104</v>
      </c>
      <c r="E2" s="42"/>
      <c r="F2" s="43" t="s">
        <v>105</v>
      </c>
      <c r="G2" s="44"/>
      <c r="H2" s="43" t="s">
        <v>105</v>
      </c>
      <c r="I2" s="44"/>
      <c r="J2" s="23" t="s">
        <v>94</v>
      </c>
      <c r="K2" s="4" t="s">
        <v>93</v>
      </c>
      <c r="L2" s="4" t="s">
        <v>92</v>
      </c>
      <c r="M2" s="4" t="s">
        <v>91</v>
      </c>
      <c r="N2" s="4" t="s">
        <v>90</v>
      </c>
      <c r="O2" s="4" t="s">
        <v>89</v>
      </c>
      <c r="P2" s="4" t="s">
        <v>88</v>
      </c>
      <c r="Q2" s="4" t="s">
        <v>87</v>
      </c>
      <c r="R2" s="4" t="s">
        <v>86</v>
      </c>
      <c r="S2" s="4" t="s">
        <v>85</v>
      </c>
      <c r="T2" s="4" t="s">
        <v>84</v>
      </c>
      <c r="U2" s="4" t="s">
        <v>83</v>
      </c>
      <c r="V2" s="4" t="s">
        <v>82</v>
      </c>
      <c r="W2" s="4" t="s">
        <v>80</v>
      </c>
      <c r="X2" s="4" t="s">
        <v>79</v>
      </c>
      <c r="Y2" s="4" t="s">
        <v>78</v>
      </c>
      <c r="Z2" s="4" t="s">
        <v>77</v>
      </c>
      <c r="AA2" s="4" t="s">
        <v>76</v>
      </c>
      <c r="AB2" s="4" t="s">
        <v>75</v>
      </c>
      <c r="AC2" s="4" t="s">
        <v>74</v>
      </c>
      <c r="AD2" s="4" t="s">
        <v>73</v>
      </c>
      <c r="AE2" s="4" t="s">
        <v>72</v>
      </c>
      <c r="AF2" s="4" t="s">
        <v>71</v>
      </c>
      <c r="AG2" s="4" t="s">
        <v>70</v>
      </c>
      <c r="AH2" s="4" t="s">
        <v>69</v>
      </c>
      <c r="AI2" s="4" t="s">
        <v>68</v>
      </c>
      <c r="AJ2" s="4" t="s">
        <v>67</v>
      </c>
      <c r="AK2" s="4" t="s">
        <v>66</v>
      </c>
      <c r="AL2" s="4" t="s">
        <v>81</v>
      </c>
      <c r="AM2" s="4" t="s">
        <v>65</v>
      </c>
      <c r="AN2" s="4" t="s">
        <v>64</v>
      </c>
      <c r="AO2" s="4" t="s">
        <v>62</v>
      </c>
      <c r="AP2" s="4" t="s">
        <v>63</v>
      </c>
      <c r="AQ2" s="4" t="s">
        <v>61</v>
      </c>
      <c r="AR2" s="4" t="s">
        <v>60</v>
      </c>
      <c r="AS2" s="4" t="s">
        <v>58</v>
      </c>
      <c r="AT2" s="4" t="s">
        <v>57</v>
      </c>
      <c r="AU2" s="4" t="s">
        <v>56</v>
      </c>
      <c r="AV2" s="4" t="s">
        <v>55</v>
      </c>
      <c r="AW2" s="4" t="s">
        <v>54</v>
      </c>
      <c r="AX2" s="4" t="s">
        <v>53</v>
      </c>
      <c r="AY2" s="4" t="s">
        <v>52</v>
      </c>
      <c r="AZ2" s="4" t="s">
        <v>51</v>
      </c>
      <c r="BA2" s="4" t="s">
        <v>50</v>
      </c>
      <c r="BB2" s="4" t="s">
        <v>49</v>
      </c>
      <c r="BC2" s="4" t="s">
        <v>48</v>
      </c>
      <c r="BD2" s="4" t="s">
        <v>47</v>
      </c>
      <c r="BE2" s="4" t="s">
        <v>46</v>
      </c>
      <c r="BF2" s="7">
        <v>43199</v>
      </c>
      <c r="BG2" s="4" t="s">
        <v>45</v>
      </c>
      <c r="BH2" s="4" t="s">
        <v>33</v>
      </c>
      <c r="BI2" s="6">
        <v>43180</v>
      </c>
      <c r="BJ2" s="4" t="s">
        <v>44</v>
      </c>
      <c r="BK2" s="4" t="s">
        <v>43</v>
      </c>
      <c r="BL2" s="4" t="s">
        <v>42</v>
      </c>
      <c r="BM2" s="4" t="s">
        <v>41</v>
      </c>
      <c r="BN2" s="4" t="s">
        <v>40</v>
      </c>
      <c r="BO2" s="4" t="s">
        <v>38</v>
      </c>
      <c r="BP2" s="6">
        <v>43143</v>
      </c>
      <c r="BQ2" s="4" t="s">
        <v>37</v>
      </c>
      <c r="BR2" s="4" t="s">
        <v>39</v>
      </c>
      <c r="BS2" s="4" t="s">
        <v>36</v>
      </c>
      <c r="BT2" s="4" t="s">
        <v>35</v>
      </c>
      <c r="BU2" s="4" t="s">
        <v>34</v>
      </c>
      <c r="BV2" s="4" t="s">
        <v>32</v>
      </c>
      <c r="BW2" s="4" t="s">
        <v>31</v>
      </c>
    </row>
    <row r="3" spans="1:75" ht="15.75" customHeight="1">
      <c r="A3" s="14" t="s">
        <v>10</v>
      </c>
      <c r="B3" s="38">
        <f aca="true" t="shared" si="0" ref="B3:B26">H3/D3</f>
        <v>99.37735849056604</v>
      </c>
      <c r="C3" s="21" t="s">
        <v>108</v>
      </c>
      <c r="D3" s="39">
        <f aca="true" t="shared" si="1" ref="D3:D28">COUNT(J3:BW3)</f>
        <v>53</v>
      </c>
      <c r="E3" s="21" t="s">
        <v>107</v>
      </c>
      <c r="F3" s="34">
        <f>H3*100/H$29</f>
        <v>24.855477690474505</v>
      </c>
      <c r="G3" s="35" t="s">
        <v>109</v>
      </c>
      <c r="H3" s="40">
        <f aca="true" t="shared" si="2" ref="H3:H28">SUM(J3:BW3)</f>
        <v>5267</v>
      </c>
      <c r="I3" s="37" t="s">
        <v>106</v>
      </c>
      <c r="J3" s="24">
        <f>50+30+30</f>
        <v>110</v>
      </c>
      <c r="K3" s="2"/>
      <c r="L3" s="2">
        <f>50+30</f>
        <v>80</v>
      </c>
      <c r="M3" s="2">
        <f>50+30+25</f>
        <v>105</v>
      </c>
      <c r="N3" s="2">
        <f>30+50+25</f>
        <v>105</v>
      </c>
      <c r="O3" s="2">
        <f>50+30+25+35</f>
        <v>140</v>
      </c>
      <c r="P3" s="2">
        <f>50+30+25</f>
        <v>105</v>
      </c>
      <c r="Q3" s="2">
        <f>50+30</f>
        <v>80</v>
      </c>
      <c r="R3" s="2">
        <f>35+25+50+30</f>
        <v>140</v>
      </c>
      <c r="S3" s="2">
        <f>50+30</f>
        <v>80</v>
      </c>
      <c r="T3" s="2">
        <f>50+30</f>
        <v>80</v>
      </c>
      <c r="U3" s="2">
        <f>50+30+25</f>
        <v>105</v>
      </c>
      <c r="V3" s="2"/>
      <c r="W3" s="2">
        <f>50+30+17</f>
        <v>97</v>
      </c>
      <c r="X3" s="2">
        <f>50+50</f>
        <v>100</v>
      </c>
      <c r="Y3" s="2"/>
      <c r="Z3" s="2">
        <f>50+30+25+25</f>
        <v>130</v>
      </c>
      <c r="AA3" s="2">
        <f>30+50</f>
        <v>80</v>
      </c>
      <c r="AB3" s="2">
        <f>50+30+25+25</f>
        <v>130</v>
      </c>
      <c r="AC3" s="2">
        <f>50+30</f>
        <v>80</v>
      </c>
      <c r="AD3" s="2">
        <f>25</f>
        <v>25</v>
      </c>
      <c r="AE3" s="2">
        <f>50+30+25</f>
        <v>105</v>
      </c>
      <c r="AF3" s="2">
        <f>25+30+50</f>
        <v>105</v>
      </c>
      <c r="AG3" s="2">
        <f>50+25+30+25</f>
        <v>130</v>
      </c>
      <c r="AH3" s="2">
        <f>50+30+30</f>
        <v>110</v>
      </c>
      <c r="AI3" s="2">
        <f>30+50</f>
        <v>80</v>
      </c>
      <c r="AJ3" s="2">
        <f>50+25+30+35</f>
        <v>140</v>
      </c>
      <c r="AK3" s="2"/>
      <c r="AL3" s="2">
        <f>50+30</f>
        <v>80</v>
      </c>
      <c r="AM3" s="2">
        <f>30+50</f>
        <v>80</v>
      </c>
      <c r="AN3" s="2">
        <f>50+30+25</f>
        <v>105</v>
      </c>
      <c r="AO3" s="2">
        <f>50+30</f>
        <v>80</v>
      </c>
      <c r="AP3" s="2"/>
      <c r="AQ3" s="2">
        <f>50+30+25</f>
        <v>105</v>
      </c>
      <c r="AR3" s="2"/>
      <c r="AS3" s="2">
        <f>30+50</f>
        <v>80</v>
      </c>
      <c r="AT3" s="2">
        <f>50+30+25</f>
        <v>105</v>
      </c>
      <c r="AU3" s="2">
        <f>35</f>
        <v>35</v>
      </c>
      <c r="AV3" s="2">
        <f>50+30</f>
        <v>80</v>
      </c>
      <c r="AW3" s="2"/>
      <c r="AX3" s="2">
        <f>50+30+30</f>
        <v>110</v>
      </c>
      <c r="AY3" s="2">
        <f>50+30</f>
        <v>80</v>
      </c>
      <c r="AZ3" s="2">
        <f>50+30+30</f>
        <v>110</v>
      </c>
      <c r="BA3" s="2">
        <f>50+30</f>
        <v>80</v>
      </c>
      <c r="BB3" s="2">
        <f>30+50+30+35</f>
        <v>145</v>
      </c>
      <c r="BC3" s="2">
        <f>50+35+30+25+25</f>
        <v>165</v>
      </c>
      <c r="BD3" s="2">
        <f>50+30+25</f>
        <v>105</v>
      </c>
      <c r="BE3" s="2">
        <f>35</f>
        <v>35</v>
      </c>
      <c r="BF3" s="2"/>
      <c r="BG3" s="2">
        <f>35+50+25+25+30</f>
        <v>165</v>
      </c>
      <c r="BH3" s="2">
        <f>50+30+35</f>
        <v>115</v>
      </c>
      <c r="BI3" s="2">
        <f>50+30+30</f>
        <v>110</v>
      </c>
      <c r="BJ3" s="3"/>
      <c r="BK3" s="3"/>
      <c r="BL3" s="3">
        <f>50+30</f>
        <v>80</v>
      </c>
      <c r="BM3" s="3">
        <f>50+30</f>
        <v>80</v>
      </c>
      <c r="BN3" s="3">
        <f>50+50+35</f>
        <v>135</v>
      </c>
      <c r="BO3" s="3">
        <f>50+30+30</f>
        <v>110</v>
      </c>
      <c r="BP3" s="3"/>
      <c r="BQ3" s="3">
        <f>30+50</f>
        <v>80</v>
      </c>
      <c r="BR3" s="3"/>
      <c r="BS3" s="3">
        <f>50+30+30</f>
        <v>110</v>
      </c>
      <c r="BT3" s="3">
        <f>50+30</f>
        <v>80</v>
      </c>
      <c r="BU3" s="3"/>
      <c r="BV3" s="3">
        <f>50+30</f>
        <v>80</v>
      </c>
      <c r="BW3" s="3">
        <f>50+50</f>
        <v>100</v>
      </c>
    </row>
    <row r="4" spans="1:75" ht="15.75" customHeight="1">
      <c r="A4" s="14" t="s">
        <v>110</v>
      </c>
      <c r="B4" s="38">
        <f t="shared" si="0"/>
        <v>94.45652173913044</v>
      </c>
      <c r="C4" s="21" t="s">
        <v>108</v>
      </c>
      <c r="D4" s="39">
        <f t="shared" si="1"/>
        <v>46</v>
      </c>
      <c r="E4" s="21" t="s">
        <v>107</v>
      </c>
      <c r="F4" s="34">
        <f>H4*100/H$29</f>
        <v>20.504471343290625</v>
      </c>
      <c r="G4" s="35" t="s">
        <v>109</v>
      </c>
      <c r="H4" s="40">
        <f t="shared" si="2"/>
        <v>4345</v>
      </c>
      <c r="I4" s="37" t="s">
        <v>106</v>
      </c>
      <c r="J4" s="49">
        <f>25+25</f>
        <v>50</v>
      </c>
      <c r="K4" s="49"/>
      <c r="L4" s="49">
        <f>25+25+35+35</f>
        <v>120</v>
      </c>
      <c r="M4" s="49">
        <f>30+25</f>
        <v>55</v>
      </c>
      <c r="N4" s="49">
        <f>35+25+30</f>
        <v>90</v>
      </c>
      <c r="O4" s="49">
        <f>30+25</f>
        <v>55</v>
      </c>
      <c r="P4" s="49">
        <f>25+35+35+30+25</f>
        <v>150</v>
      </c>
      <c r="Q4" s="49">
        <f>30</f>
        <v>30</v>
      </c>
      <c r="R4" s="49">
        <f>35+30</f>
        <v>65</v>
      </c>
      <c r="S4" s="49">
        <f>10</f>
        <v>10</v>
      </c>
      <c r="T4" s="49"/>
      <c r="U4" s="49">
        <f>25+35+25+50+35+30</f>
        <v>200</v>
      </c>
      <c r="V4" s="49"/>
      <c r="W4" s="49">
        <f>30+25</f>
        <v>55</v>
      </c>
      <c r="X4" s="49">
        <f>30+25+25</f>
        <v>80</v>
      </c>
      <c r="Y4" s="49"/>
      <c r="Z4" s="49">
        <f>25+30+25</f>
        <v>80</v>
      </c>
      <c r="AA4" s="49">
        <f>35+25+35+35</f>
        <v>130</v>
      </c>
      <c r="AB4" s="49">
        <f>30+25</f>
        <v>55</v>
      </c>
      <c r="AC4" s="49">
        <f>30+25+35</f>
        <v>90</v>
      </c>
      <c r="AD4" s="49"/>
      <c r="AE4" s="49">
        <f>25+30</f>
        <v>55</v>
      </c>
      <c r="AF4" s="49">
        <f>35+35+35</f>
        <v>105</v>
      </c>
      <c r="AG4" s="49">
        <f>35</f>
        <v>35</v>
      </c>
      <c r="AH4" s="49">
        <f>15</f>
        <v>15</v>
      </c>
      <c r="AI4" s="49">
        <f>25</f>
        <v>25</v>
      </c>
      <c r="AJ4" s="49">
        <f>25+30</f>
        <v>55</v>
      </c>
      <c r="AK4" s="49"/>
      <c r="AL4" s="49"/>
      <c r="AM4" s="49">
        <f>25+30+50</f>
        <v>105</v>
      </c>
      <c r="AN4" s="49">
        <f>25+25+35</f>
        <v>85</v>
      </c>
      <c r="AO4" s="49">
        <f>25+30+35+35+30</f>
        <v>155</v>
      </c>
      <c r="AP4" s="49"/>
      <c r="AQ4" s="49">
        <f>25+30+30+35</f>
        <v>120</v>
      </c>
      <c r="AR4" s="49"/>
      <c r="AS4" s="49">
        <f>30+25</f>
        <v>55</v>
      </c>
      <c r="AT4" s="49">
        <f>50+35+25+30+30+25</f>
        <v>195</v>
      </c>
      <c r="AU4" s="49"/>
      <c r="AV4" s="49">
        <f>25+30</f>
        <v>55</v>
      </c>
      <c r="AW4" s="49"/>
      <c r="AX4" s="49">
        <f>25+35</f>
        <v>60</v>
      </c>
      <c r="AY4" s="49">
        <f>25+30+25+35</f>
        <v>115</v>
      </c>
      <c r="AZ4" s="49">
        <f>35+25</f>
        <v>60</v>
      </c>
      <c r="BA4" s="49">
        <f>30+30</f>
        <v>60</v>
      </c>
      <c r="BB4" s="49">
        <f>30+25+25+35+35</f>
        <v>150</v>
      </c>
      <c r="BC4" s="49">
        <f>35+30+25+25+35</f>
        <v>150</v>
      </c>
      <c r="BD4" s="49">
        <f>30+25+35+35</f>
        <v>125</v>
      </c>
      <c r="BE4" s="49"/>
      <c r="BF4" s="49"/>
      <c r="BG4" s="49">
        <f>30+25</f>
        <v>55</v>
      </c>
      <c r="BH4" s="49">
        <f>35+30+25</f>
        <v>90</v>
      </c>
      <c r="BI4" s="49">
        <f>35+35+35+25+35</f>
        <v>165</v>
      </c>
      <c r="BJ4" s="50"/>
      <c r="BK4" s="50"/>
      <c r="BL4" s="50"/>
      <c r="BM4" s="50">
        <f>25</f>
        <v>25</v>
      </c>
      <c r="BN4" s="50">
        <f>25+25</f>
        <v>50</v>
      </c>
      <c r="BO4" s="50">
        <f>25+25+35+35+35+35</f>
        <v>190</v>
      </c>
      <c r="BP4" s="50"/>
      <c r="BQ4" s="50"/>
      <c r="BR4" s="50"/>
      <c r="BS4" s="50">
        <f>30+25+250</f>
        <v>305</v>
      </c>
      <c r="BT4" s="50">
        <f>35+35+30+25+35+35</f>
        <v>195</v>
      </c>
      <c r="BU4" s="50"/>
      <c r="BV4" s="50">
        <f>25</f>
        <v>25</v>
      </c>
      <c r="BW4" s="50">
        <f>25+30+35+35+25</f>
        <v>150</v>
      </c>
    </row>
    <row r="5" spans="1:75" ht="15.75" customHeight="1">
      <c r="A5" s="12" t="s">
        <v>20</v>
      </c>
      <c r="B5" s="26">
        <f t="shared" si="0"/>
        <v>47.795918367346935</v>
      </c>
      <c r="C5" s="22" t="s">
        <v>108</v>
      </c>
      <c r="D5" s="31">
        <f t="shared" si="1"/>
        <v>49</v>
      </c>
      <c r="E5" s="22" t="s">
        <v>107</v>
      </c>
      <c r="F5" s="28">
        <f aca="true" t="shared" si="3" ref="F5:F29">H5*100/H$29</f>
        <v>11.052122413345604</v>
      </c>
      <c r="G5" s="29" t="s">
        <v>109</v>
      </c>
      <c r="H5" s="27">
        <f t="shared" si="2"/>
        <v>2342</v>
      </c>
      <c r="I5" s="30" t="s">
        <v>106</v>
      </c>
      <c r="J5" s="24">
        <f>25+16+16+16</f>
        <v>73</v>
      </c>
      <c r="K5" s="2"/>
      <c r="L5" s="2">
        <f>25+25+15</f>
        <v>65</v>
      </c>
      <c r="M5" s="2">
        <f>25+16</f>
        <v>41</v>
      </c>
      <c r="N5" s="2">
        <f>25+16</f>
        <v>41</v>
      </c>
      <c r="O5" s="2">
        <f>16+16+25</f>
        <v>57</v>
      </c>
      <c r="P5" s="2">
        <f>25+15</f>
        <v>40</v>
      </c>
      <c r="Q5" s="2">
        <f>16+16+25</f>
        <v>57</v>
      </c>
      <c r="R5" s="2">
        <f>25+16+16</f>
        <v>57</v>
      </c>
      <c r="S5" s="2">
        <f>25+16+16</f>
        <v>57</v>
      </c>
      <c r="T5" s="2">
        <f>16+16+25</f>
        <v>57</v>
      </c>
      <c r="U5" s="2">
        <f>15+16+25</f>
        <v>56</v>
      </c>
      <c r="V5" s="2"/>
      <c r="W5" s="2">
        <f>15+15+25</f>
        <v>55</v>
      </c>
      <c r="X5" s="2">
        <f>15+15+25</f>
        <v>55</v>
      </c>
      <c r="Y5" s="2"/>
      <c r="Z5" s="2">
        <f>25+16+16</f>
        <v>57</v>
      </c>
      <c r="AA5" s="2">
        <f>25+16</f>
        <v>41</v>
      </c>
      <c r="AB5" s="2">
        <f>15+15+25</f>
        <v>55</v>
      </c>
      <c r="AC5" s="2">
        <f>25+15</f>
        <v>40</v>
      </c>
      <c r="AD5" s="2"/>
      <c r="AE5" s="2">
        <f>25+16</f>
        <v>41</v>
      </c>
      <c r="AF5" s="2">
        <f>25+16</f>
        <v>41</v>
      </c>
      <c r="AG5" s="2">
        <f>16</f>
        <v>16</v>
      </c>
      <c r="AH5" s="2">
        <f>15+25</f>
        <v>40</v>
      </c>
      <c r="AI5" s="2">
        <f>16+25</f>
        <v>41</v>
      </c>
      <c r="AJ5" s="2">
        <f>15+25</f>
        <v>40</v>
      </c>
      <c r="AK5" s="2"/>
      <c r="AL5" s="2">
        <f>15+25</f>
        <v>40</v>
      </c>
      <c r="AM5" s="2">
        <f>25+16</f>
        <v>41</v>
      </c>
      <c r="AN5" s="2">
        <f>25</f>
        <v>25</v>
      </c>
      <c r="AO5" s="2">
        <f>16+25</f>
        <v>41</v>
      </c>
      <c r="AP5" s="2"/>
      <c r="AQ5" s="2">
        <f>25+16</f>
        <v>41</v>
      </c>
      <c r="AR5" s="2"/>
      <c r="AS5" s="2">
        <f>35</f>
        <v>35</v>
      </c>
      <c r="AT5" s="2">
        <f>25</f>
        <v>25</v>
      </c>
      <c r="AU5" s="2"/>
      <c r="AV5" s="2">
        <f>25+16</f>
        <v>41</v>
      </c>
      <c r="AW5" s="2"/>
      <c r="AX5" s="2">
        <f>25+16</f>
        <v>41</v>
      </c>
      <c r="AY5" s="2">
        <f>25+16</f>
        <v>41</v>
      </c>
      <c r="AZ5" s="2">
        <f>25+15+16</f>
        <v>56</v>
      </c>
      <c r="BA5" s="2">
        <f>16+25+25</f>
        <v>66</v>
      </c>
      <c r="BB5" s="2">
        <f>25+25</f>
        <v>50</v>
      </c>
      <c r="BC5" s="2">
        <f>16+25</f>
        <v>41</v>
      </c>
      <c r="BD5" s="2"/>
      <c r="BE5" s="2"/>
      <c r="BF5" s="2"/>
      <c r="BG5" s="2">
        <f>25+25+16</f>
        <v>66</v>
      </c>
      <c r="BH5" s="2">
        <f>16+16+25</f>
        <v>57</v>
      </c>
      <c r="BI5" s="2">
        <f>25+16+15</f>
        <v>56</v>
      </c>
      <c r="BJ5" s="3"/>
      <c r="BK5" s="3"/>
      <c r="BL5" s="3">
        <f>25+25+16</f>
        <v>66</v>
      </c>
      <c r="BM5" s="3">
        <f>25+16</f>
        <v>41</v>
      </c>
      <c r="BN5" s="3">
        <f>25+16+16+6</f>
        <v>63</v>
      </c>
      <c r="BO5" s="3">
        <f>6+16+25+25</f>
        <v>72</v>
      </c>
      <c r="BP5" s="3"/>
      <c r="BQ5" s="3">
        <f>16+25</f>
        <v>41</v>
      </c>
      <c r="BR5" s="3"/>
      <c r="BS5" s="3">
        <f>25+25</f>
        <v>50</v>
      </c>
      <c r="BT5" s="3">
        <f>16</f>
        <v>16</v>
      </c>
      <c r="BU5" s="3"/>
      <c r="BV5" s="3">
        <f>25+16+16</f>
        <v>57</v>
      </c>
      <c r="BW5" s="3">
        <f>25+25</f>
        <v>50</v>
      </c>
    </row>
    <row r="6" spans="1:75" ht="15.75" customHeight="1">
      <c r="A6" s="15" t="s">
        <v>96</v>
      </c>
      <c r="B6" s="38">
        <f t="shared" si="0"/>
        <v>62.1</v>
      </c>
      <c r="C6" s="21" t="s">
        <v>108</v>
      </c>
      <c r="D6" s="39">
        <f t="shared" si="1"/>
        <v>30</v>
      </c>
      <c r="E6" s="21" t="s">
        <v>107</v>
      </c>
      <c r="F6" s="34">
        <f t="shared" si="3"/>
        <v>8.791675514971331</v>
      </c>
      <c r="G6" s="35" t="s">
        <v>109</v>
      </c>
      <c r="H6" s="40">
        <f t="shared" si="2"/>
        <v>1863</v>
      </c>
      <c r="I6" s="37" t="s">
        <v>106</v>
      </c>
      <c r="J6" s="24"/>
      <c r="K6" s="2"/>
      <c r="L6" s="2">
        <f>35</f>
        <v>35</v>
      </c>
      <c r="M6" s="2">
        <f>35</f>
        <v>35</v>
      </c>
      <c r="N6" s="2">
        <f>25+25+17+17+35</f>
        <v>119</v>
      </c>
      <c r="O6" s="2"/>
      <c r="P6" s="2"/>
      <c r="Q6" s="2"/>
      <c r="R6" s="2"/>
      <c r="S6" s="2"/>
      <c r="T6" s="2"/>
      <c r="U6" s="2"/>
      <c r="V6" s="2"/>
      <c r="W6" s="2"/>
      <c r="X6" s="2"/>
      <c r="Y6" s="1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>
        <f>16+35</f>
        <v>51</v>
      </c>
      <c r="AM6" s="2"/>
      <c r="AN6" s="2">
        <f>17</f>
        <v>17</v>
      </c>
      <c r="AO6" s="2">
        <f>25+25+17</f>
        <v>67</v>
      </c>
      <c r="AP6" s="2"/>
      <c r="AQ6" s="2">
        <f>17+25+25</f>
        <v>67</v>
      </c>
      <c r="AR6" s="2"/>
      <c r="AS6" s="2">
        <f>35+25+17</f>
        <v>77</v>
      </c>
      <c r="AT6" s="2">
        <f>25+25+17</f>
        <v>67</v>
      </c>
      <c r="AU6" s="2"/>
      <c r="AV6" s="2">
        <f>25+25+17</f>
        <v>67</v>
      </c>
      <c r="AW6" s="2"/>
      <c r="AX6" s="2">
        <f>25+25+17+17</f>
        <v>84</v>
      </c>
      <c r="AY6" s="2">
        <f>25+35+35</f>
        <v>95</v>
      </c>
      <c r="AZ6" s="2">
        <f>35+35</f>
        <v>70</v>
      </c>
      <c r="BA6" s="2">
        <f>25</f>
        <v>25</v>
      </c>
      <c r="BB6" s="2">
        <f>25+25+25+17+35+35</f>
        <v>162</v>
      </c>
      <c r="BC6" s="2">
        <f>17+25+25+17+25</f>
        <v>109</v>
      </c>
      <c r="BD6" s="2">
        <f>25</f>
        <v>25</v>
      </c>
      <c r="BE6" s="2"/>
      <c r="BF6" s="2"/>
      <c r="BG6" s="2">
        <f>17+25</f>
        <v>42</v>
      </c>
      <c r="BH6" s="2">
        <f>25</f>
        <v>25</v>
      </c>
      <c r="BI6" s="2">
        <f>25+17</f>
        <v>42</v>
      </c>
      <c r="BJ6" s="3"/>
      <c r="BK6" s="3"/>
      <c r="BL6" s="3">
        <f>25+17</f>
        <v>42</v>
      </c>
      <c r="BM6" s="3">
        <f>25</f>
        <v>25</v>
      </c>
      <c r="BN6" s="3">
        <f>17+25+35</f>
        <v>77</v>
      </c>
      <c r="BO6" s="3">
        <f>25+17+35</f>
        <v>77</v>
      </c>
      <c r="BP6" s="3">
        <f>35+35+35+35</f>
        <v>140</v>
      </c>
      <c r="BQ6" s="3"/>
      <c r="BR6" s="3"/>
      <c r="BS6" s="3">
        <f>25+17</f>
        <v>42</v>
      </c>
      <c r="BT6" s="3">
        <f>25+17</f>
        <v>42</v>
      </c>
      <c r="BU6" s="3">
        <f>35+35</f>
        <v>70</v>
      </c>
      <c r="BV6" s="3">
        <f>25</f>
        <v>25</v>
      </c>
      <c r="BW6" s="3">
        <f>25+17</f>
        <v>42</v>
      </c>
    </row>
    <row r="7" spans="1:75" ht="15.75" customHeight="1">
      <c r="A7" s="15" t="s">
        <v>95</v>
      </c>
      <c r="B7" s="26">
        <f t="shared" si="0"/>
        <v>56.392857142857146</v>
      </c>
      <c r="C7" s="22" t="s">
        <v>108</v>
      </c>
      <c r="D7" s="31">
        <f t="shared" si="1"/>
        <v>28</v>
      </c>
      <c r="E7" s="22" t="s">
        <v>107</v>
      </c>
      <c r="F7" s="28">
        <f t="shared" si="3"/>
        <v>7.451452301738986</v>
      </c>
      <c r="G7" s="29" t="s">
        <v>109</v>
      </c>
      <c r="H7" s="27">
        <f t="shared" si="2"/>
        <v>1579</v>
      </c>
      <c r="I7" s="30" t="s">
        <v>106</v>
      </c>
      <c r="J7" s="24"/>
      <c r="K7" s="2"/>
      <c r="L7" s="2"/>
      <c r="M7" s="2"/>
      <c r="N7" s="2"/>
      <c r="O7" s="2"/>
      <c r="P7" s="2">
        <f>25</f>
        <v>25</v>
      </c>
      <c r="Q7" s="2">
        <f>25</f>
        <v>25</v>
      </c>
      <c r="R7" s="2">
        <f>25+16</f>
        <v>41</v>
      </c>
      <c r="S7" s="2"/>
      <c r="T7" s="2"/>
      <c r="U7" s="2"/>
      <c r="V7" s="2"/>
      <c r="W7" s="2">
        <f>40</f>
        <v>40</v>
      </c>
      <c r="X7" s="2">
        <f>25</f>
        <v>25</v>
      </c>
      <c r="Y7" s="2"/>
      <c r="Z7" s="2">
        <f>50</f>
        <v>50</v>
      </c>
      <c r="AA7" s="2">
        <f>25+25+15</f>
        <v>65</v>
      </c>
      <c r="AB7" s="2"/>
      <c r="AC7" s="2">
        <f>25+25+25+16</f>
        <v>91</v>
      </c>
      <c r="AD7" s="2"/>
      <c r="AE7" s="2">
        <f>25+16+16</f>
        <v>57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>
        <f>25</f>
        <v>25</v>
      </c>
      <c r="AW7" s="2"/>
      <c r="AX7" s="2">
        <f>50</f>
        <v>50</v>
      </c>
      <c r="AY7" s="2">
        <f>75</f>
        <v>75</v>
      </c>
      <c r="AZ7" s="2">
        <f>125</f>
        <v>125</v>
      </c>
      <c r="BA7" s="2">
        <f>50+30</f>
        <v>80</v>
      </c>
      <c r="BB7" s="2">
        <f>50</f>
        <v>50</v>
      </c>
      <c r="BC7" s="2">
        <f>125</f>
        <v>125</v>
      </c>
      <c r="BD7" s="2">
        <f>50</f>
        <v>50</v>
      </c>
      <c r="BE7" s="2"/>
      <c r="BF7" s="2"/>
      <c r="BG7" s="2">
        <f>50</f>
        <v>50</v>
      </c>
      <c r="BH7" s="2">
        <f>50</f>
        <v>50</v>
      </c>
      <c r="BI7" s="2">
        <f>75</f>
        <v>75</v>
      </c>
      <c r="BJ7" s="3"/>
      <c r="BK7" s="3">
        <f>25</f>
        <v>25</v>
      </c>
      <c r="BL7" s="3">
        <f>15</f>
        <v>15</v>
      </c>
      <c r="BM7" s="3">
        <f>15+15+25+25+35</f>
        <v>115</v>
      </c>
      <c r="BN7" s="3">
        <f>25+25</f>
        <v>50</v>
      </c>
      <c r="BO7" s="3">
        <f>50</f>
        <v>50</v>
      </c>
      <c r="BP7" s="3"/>
      <c r="BQ7" s="3"/>
      <c r="BR7" s="3"/>
      <c r="BS7" s="3">
        <f>25+25</f>
        <v>50</v>
      </c>
      <c r="BT7" s="3">
        <f>25+25</f>
        <v>50</v>
      </c>
      <c r="BU7" s="3"/>
      <c r="BV7" s="3">
        <f>50</f>
        <v>50</v>
      </c>
      <c r="BW7" s="3"/>
    </row>
    <row r="8" spans="1:75" ht="15.75" customHeight="1">
      <c r="A8" s="12" t="s">
        <v>8</v>
      </c>
      <c r="B8" s="38">
        <f t="shared" si="0"/>
        <v>51.904761904761905</v>
      </c>
      <c r="C8" s="21" t="s">
        <v>108</v>
      </c>
      <c r="D8" s="39">
        <f t="shared" si="1"/>
        <v>21</v>
      </c>
      <c r="E8" s="21" t="s">
        <v>107</v>
      </c>
      <c r="F8" s="34">
        <f t="shared" si="3"/>
        <v>5.143814445152309</v>
      </c>
      <c r="G8" s="35" t="s">
        <v>109</v>
      </c>
      <c r="H8" s="40">
        <f t="shared" si="2"/>
        <v>1090</v>
      </c>
      <c r="I8" s="37" t="s">
        <v>106</v>
      </c>
      <c r="J8" s="24"/>
      <c r="K8" s="2"/>
      <c r="L8" s="2"/>
      <c r="M8" s="2"/>
      <c r="N8" s="2">
        <f>35+35</f>
        <v>70</v>
      </c>
      <c r="O8" s="2"/>
      <c r="P8" s="2">
        <f>35</f>
        <v>35</v>
      </c>
      <c r="Q8" s="2"/>
      <c r="R8" s="2"/>
      <c r="S8" s="2">
        <f>35+35</f>
        <v>70</v>
      </c>
      <c r="T8" s="2"/>
      <c r="U8" s="2">
        <f>35</f>
        <v>35</v>
      </c>
      <c r="V8" s="2"/>
      <c r="W8" s="2"/>
      <c r="X8" s="2"/>
      <c r="Y8" s="2"/>
      <c r="Z8" s="2">
        <f>35</f>
        <v>35</v>
      </c>
      <c r="AA8" s="2"/>
      <c r="AB8" s="2"/>
      <c r="AC8" s="2">
        <f>35+35</f>
        <v>70</v>
      </c>
      <c r="AD8" s="2"/>
      <c r="AE8" s="2"/>
      <c r="AF8" s="2"/>
      <c r="AG8" s="2">
        <f>35</f>
        <v>35</v>
      </c>
      <c r="AH8" s="2">
        <f>35</f>
        <v>35</v>
      </c>
      <c r="AI8" s="2">
        <f>35+35</f>
        <v>70</v>
      </c>
      <c r="AJ8" s="2"/>
      <c r="AK8" s="2"/>
      <c r="AL8" s="2">
        <f>5</f>
        <v>5</v>
      </c>
      <c r="AM8" s="2"/>
      <c r="AN8" s="2">
        <f>35</f>
        <v>35</v>
      </c>
      <c r="AO8" s="2"/>
      <c r="AP8" s="2"/>
      <c r="AQ8" s="2"/>
      <c r="AR8" s="2"/>
      <c r="AS8" s="2">
        <f>35</f>
        <v>35</v>
      </c>
      <c r="AT8" s="2"/>
      <c r="AU8" s="2"/>
      <c r="AV8" s="2">
        <f>35+35+35</f>
        <v>105</v>
      </c>
      <c r="AW8" s="2"/>
      <c r="AX8" s="2">
        <f>35</f>
        <v>35</v>
      </c>
      <c r="AY8" s="2">
        <f>35</f>
        <v>35</v>
      </c>
      <c r="AZ8" s="2"/>
      <c r="BA8" s="2"/>
      <c r="BB8" s="2">
        <f>35+35+35</f>
        <v>105</v>
      </c>
      <c r="BC8" s="2">
        <f>35</f>
        <v>35</v>
      </c>
      <c r="BD8" s="1">
        <f>35</f>
        <v>35</v>
      </c>
      <c r="BE8" s="2"/>
      <c r="BF8" s="2"/>
      <c r="BG8" s="2"/>
      <c r="BH8" s="2">
        <f>35+35</f>
        <v>70</v>
      </c>
      <c r="BI8" s="2"/>
      <c r="BJ8" s="3"/>
      <c r="BK8" s="3"/>
      <c r="BL8" s="3"/>
      <c r="BM8" s="3">
        <f>35+35</f>
        <v>70</v>
      </c>
      <c r="BN8" s="3"/>
      <c r="BO8" s="3"/>
      <c r="BP8" s="3"/>
      <c r="BQ8" s="3"/>
      <c r="BR8" s="3"/>
      <c r="BS8" s="3">
        <f>35+35</f>
        <v>70</v>
      </c>
      <c r="BT8" s="3"/>
      <c r="BU8" s="3"/>
      <c r="BV8" s="3"/>
      <c r="BW8" s="3"/>
    </row>
    <row r="9" spans="1:75" ht="15.75" customHeight="1">
      <c r="A9" s="14" t="s">
        <v>4</v>
      </c>
      <c r="B9" s="26">
        <f t="shared" si="0"/>
        <v>34.3</v>
      </c>
      <c r="C9" s="22" t="s">
        <v>108</v>
      </c>
      <c r="D9" s="31">
        <f t="shared" si="1"/>
        <v>20</v>
      </c>
      <c r="E9" s="22" t="s">
        <v>107</v>
      </c>
      <c r="F9" s="28">
        <f t="shared" si="3"/>
        <v>3.2372997333710862</v>
      </c>
      <c r="G9" s="29" t="s">
        <v>109</v>
      </c>
      <c r="H9" s="27">
        <f t="shared" si="2"/>
        <v>686</v>
      </c>
      <c r="I9" s="30" t="s">
        <v>106</v>
      </c>
      <c r="J9" s="24"/>
      <c r="K9" s="2"/>
      <c r="L9" s="2">
        <f>25+15</f>
        <v>40</v>
      </c>
      <c r="M9" s="2">
        <f>25+25+15</f>
        <v>65</v>
      </c>
      <c r="N9" s="2">
        <f>25</f>
        <v>25</v>
      </c>
      <c r="O9" s="2">
        <f>25+35</f>
        <v>60</v>
      </c>
      <c r="P9" s="2">
        <f>25</f>
        <v>25</v>
      </c>
      <c r="Q9" s="2"/>
      <c r="R9" s="2">
        <f>25</f>
        <v>25</v>
      </c>
      <c r="S9" s="2"/>
      <c r="T9" s="2"/>
      <c r="U9" s="2">
        <f>25</f>
        <v>25</v>
      </c>
      <c r="V9" s="2"/>
      <c r="W9" s="2">
        <f>25+25+15</f>
        <v>65</v>
      </c>
      <c r="X9" s="2">
        <f>25</f>
        <v>25</v>
      </c>
      <c r="Y9" s="2">
        <f>30</f>
        <v>30</v>
      </c>
      <c r="Z9" s="2"/>
      <c r="AA9" s="2">
        <f>16</f>
        <v>16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>
        <f>35</f>
        <v>35</v>
      </c>
      <c r="AX9" s="2"/>
      <c r="AY9" s="2">
        <f>25</f>
        <v>25</v>
      </c>
      <c r="AZ9" s="2">
        <f>25</f>
        <v>25</v>
      </c>
      <c r="BA9" s="2"/>
      <c r="BB9" s="2"/>
      <c r="BC9" s="2"/>
      <c r="BD9" s="2"/>
      <c r="BE9" s="2"/>
      <c r="BF9" s="2"/>
      <c r="BG9" s="2"/>
      <c r="BH9" s="2">
        <f>25+15</f>
        <v>40</v>
      </c>
      <c r="BI9" s="2">
        <f>15+15+25</f>
        <v>55</v>
      </c>
      <c r="BJ9" s="3"/>
      <c r="BK9" s="3">
        <f>25</f>
        <v>25</v>
      </c>
      <c r="BL9" s="3"/>
      <c r="BM9" s="3">
        <f>15</f>
        <v>15</v>
      </c>
      <c r="BN9" s="3">
        <f>25</f>
        <v>25</v>
      </c>
      <c r="BO9" s="3"/>
      <c r="BP9" s="3"/>
      <c r="BQ9" s="3"/>
      <c r="BR9" s="3"/>
      <c r="BS9" s="3"/>
      <c r="BT9" s="3"/>
      <c r="BU9" s="3"/>
      <c r="BV9" s="3"/>
      <c r="BW9" s="3">
        <f>25+15</f>
        <v>40</v>
      </c>
    </row>
    <row r="10" spans="1:75" ht="15.75" customHeight="1">
      <c r="A10" s="16" t="s">
        <v>6</v>
      </c>
      <c r="B10" s="38">
        <f t="shared" si="0"/>
        <v>23.583333333333332</v>
      </c>
      <c r="C10" s="21" t="s">
        <v>108</v>
      </c>
      <c r="D10" s="39">
        <f t="shared" si="1"/>
        <v>24</v>
      </c>
      <c r="E10" s="21" t="s">
        <v>107</v>
      </c>
      <c r="F10" s="34">
        <f t="shared" si="3"/>
        <v>2.671008234822208</v>
      </c>
      <c r="G10" s="35" t="s">
        <v>109</v>
      </c>
      <c r="H10" s="40">
        <f t="shared" si="2"/>
        <v>566</v>
      </c>
      <c r="I10" s="37" t="s">
        <v>106</v>
      </c>
      <c r="J10" s="24">
        <f>15+15</f>
        <v>30</v>
      </c>
      <c r="K10" s="2">
        <f>15</f>
        <v>15</v>
      </c>
      <c r="L10" s="2">
        <f>15+15+15+15+15</f>
        <v>75</v>
      </c>
      <c r="M10" s="2">
        <f>15</f>
        <v>15</v>
      </c>
      <c r="N10" s="2">
        <f>16+16</f>
        <v>32</v>
      </c>
      <c r="O10" s="2"/>
      <c r="P10" s="2"/>
      <c r="Q10" s="2"/>
      <c r="R10" s="2">
        <f>16</f>
        <v>16</v>
      </c>
      <c r="S10" s="2">
        <f>16</f>
        <v>16</v>
      </c>
      <c r="T10" s="2">
        <f>15</f>
        <v>15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f>15</f>
        <v>15</v>
      </c>
      <c r="AH10" s="2"/>
      <c r="AI10" s="2"/>
      <c r="AJ10" s="2"/>
      <c r="AK10" s="2"/>
      <c r="AL10" s="2"/>
      <c r="AM10" s="2"/>
      <c r="AN10" s="2"/>
      <c r="AO10" s="2"/>
      <c r="AP10" s="2"/>
      <c r="AQ10" s="2">
        <f>16</f>
        <v>16</v>
      </c>
      <c r="AR10" s="2"/>
      <c r="AS10" s="2">
        <f>16</f>
        <v>16</v>
      </c>
      <c r="AT10" s="2"/>
      <c r="AU10" s="2"/>
      <c r="AV10" s="2">
        <f>16+16</f>
        <v>32</v>
      </c>
      <c r="AW10" s="2"/>
      <c r="AX10" s="2"/>
      <c r="AY10" s="2">
        <f>15+15+15</f>
        <v>45</v>
      </c>
      <c r="AZ10" s="2"/>
      <c r="BA10" s="2"/>
      <c r="BB10" s="2">
        <f>15</f>
        <v>15</v>
      </c>
      <c r="BC10" s="2">
        <f>16</f>
        <v>16</v>
      </c>
      <c r="BD10" s="2">
        <f>15</f>
        <v>15</v>
      </c>
      <c r="BE10" s="2"/>
      <c r="BF10" s="2"/>
      <c r="BG10" s="2"/>
      <c r="BH10" s="2">
        <f>15+15+15</f>
        <v>45</v>
      </c>
      <c r="BI10" s="2"/>
      <c r="BJ10" s="3"/>
      <c r="BK10" s="3"/>
      <c r="BL10" s="3">
        <f>15</f>
        <v>15</v>
      </c>
      <c r="BM10" s="3"/>
      <c r="BN10" s="3">
        <f>16</f>
        <v>16</v>
      </c>
      <c r="BO10" s="3">
        <f>15+15+15</f>
        <v>45</v>
      </c>
      <c r="BP10" s="3"/>
      <c r="BQ10" s="3">
        <f>16</f>
        <v>16</v>
      </c>
      <c r="BR10" s="3"/>
      <c r="BS10" s="3">
        <f>15</f>
        <v>15</v>
      </c>
      <c r="BT10" s="3">
        <f>15</f>
        <v>15</v>
      </c>
      <c r="BU10" s="3"/>
      <c r="BV10" s="3">
        <f>15</f>
        <v>15</v>
      </c>
      <c r="BW10" s="3"/>
    </row>
    <row r="11" spans="1:75" ht="15.75" customHeight="1">
      <c r="A11" s="16" t="s">
        <v>9</v>
      </c>
      <c r="B11" s="26">
        <f t="shared" si="0"/>
        <v>27.36842105263158</v>
      </c>
      <c r="C11" s="22" t="s">
        <v>108</v>
      </c>
      <c r="D11" s="31">
        <f t="shared" si="1"/>
        <v>19</v>
      </c>
      <c r="E11" s="22" t="s">
        <v>107</v>
      </c>
      <c r="F11" s="28">
        <f t="shared" si="3"/>
        <v>2.453929827045138</v>
      </c>
      <c r="G11" s="29" t="s">
        <v>109</v>
      </c>
      <c r="H11" s="27">
        <f t="shared" si="2"/>
        <v>520</v>
      </c>
      <c r="I11" s="30" t="s">
        <v>106</v>
      </c>
      <c r="J11" s="24"/>
      <c r="K11" s="2"/>
      <c r="L11" s="2"/>
      <c r="M11" s="2">
        <f>30</f>
        <v>30</v>
      </c>
      <c r="N11" s="2"/>
      <c r="O11" s="2"/>
      <c r="P11" s="2">
        <f>6</f>
        <v>6</v>
      </c>
      <c r="Q11" s="2">
        <f>15</f>
        <v>15</v>
      </c>
      <c r="R11" s="2">
        <f>16</f>
        <v>16</v>
      </c>
      <c r="S11" s="2"/>
      <c r="T11" s="2">
        <f>30</f>
        <v>30</v>
      </c>
      <c r="U11" s="2"/>
      <c r="V11" s="2"/>
      <c r="W11" s="2"/>
      <c r="X11" s="2"/>
      <c r="Y11" s="2"/>
      <c r="Z11" s="2"/>
      <c r="AA11" s="2"/>
      <c r="AB11" s="2"/>
      <c r="AC11" s="2">
        <f>15</f>
        <v>15</v>
      </c>
      <c r="AD11" s="2"/>
      <c r="AE11" s="2"/>
      <c r="AF11" s="2"/>
      <c r="AG11" s="2"/>
      <c r="AH11" s="2"/>
      <c r="AI11" s="2">
        <f>30</f>
        <v>30</v>
      </c>
      <c r="AJ11" s="2"/>
      <c r="AK11" s="2"/>
      <c r="AL11" s="2"/>
      <c r="AM11" s="2"/>
      <c r="AN11" s="2">
        <f>30+10</f>
        <v>40</v>
      </c>
      <c r="AO11" s="2"/>
      <c r="AP11" s="2"/>
      <c r="AQ11" s="2"/>
      <c r="AR11" s="2"/>
      <c r="AS11" s="2">
        <f>30+15</f>
        <v>45</v>
      </c>
      <c r="AT11" s="2">
        <f>30+16</f>
        <v>46</v>
      </c>
      <c r="AU11" s="2"/>
      <c r="AV11" s="2">
        <f>30</f>
        <v>30</v>
      </c>
      <c r="AW11" s="2"/>
      <c r="AX11" s="2">
        <f>30</f>
        <v>30</v>
      </c>
      <c r="AY11" s="2"/>
      <c r="AZ11" s="2"/>
      <c r="BA11" s="2">
        <f>15</f>
        <v>15</v>
      </c>
      <c r="BB11" s="2">
        <f>16</f>
        <v>16</v>
      </c>
      <c r="BC11" s="2">
        <f>30+6</f>
        <v>36</v>
      </c>
      <c r="BD11" s="2"/>
      <c r="BE11" s="2"/>
      <c r="BF11" s="2"/>
      <c r="BG11" s="2"/>
      <c r="BH11" s="2"/>
      <c r="BI11" s="2"/>
      <c r="BJ11" s="3"/>
      <c r="BK11" s="3"/>
      <c r="BL11" s="3"/>
      <c r="BM11" s="3">
        <f>30</f>
        <v>30</v>
      </c>
      <c r="BN11" s="3"/>
      <c r="BO11" s="3"/>
      <c r="BP11" s="3"/>
      <c r="BQ11" s="3">
        <f>30</f>
        <v>30</v>
      </c>
      <c r="BR11" s="3"/>
      <c r="BS11" s="3">
        <f>30</f>
        <v>30</v>
      </c>
      <c r="BT11" s="3"/>
      <c r="BU11" s="3"/>
      <c r="BV11" s="3">
        <f>30</f>
        <v>30</v>
      </c>
      <c r="BW11" s="3"/>
    </row>
    <row r="12" spans="1:75" ht="15.75" customHeight="1">
      <c r="A12" s="17" t="s">
        <v>16</v>
      </c>
      <c r="B12" s="38">
        <f t="shared" si="0"/>
        <v>24.558823529411764</v>
      </c>
      <c r="C12" s="21" t="s">
        <v>108</v>
      </c>
      <c r="D12" s="39">
        <f t="shared" si="1"/>
        <v>17</v>
      </c>
      <c r="E12" s="21" t="s">
        <v>107</v>
      </c>
      <c r="F12" s="34">
        <f t="shared" si="3"/>
        <v>1.9702225053679714</v>
      </c>
      <c r="G12" s="35" t="s">
        <v>109</v>
      </c>
      <c r="H12" s="40">
        <f t="shared" si="2"/>
        <v>417.5</v>
      </c>
      <c r="I12" s="37" t="s">
        <v>106</v>
      </c>
      <c r="J12" s="24"/>
      <c r="K12" s="2"/>
      <c r="L12" s="2">
        <f>15</f>
        <v>15</v>
      </c>
      <c r="M12" s="2"/>
      <c r="N12" s="2"/>
      <c r="O12" s="2"/>
      <c r="P12" s="2">
        <f>15+17</f>
        <v>32</v>
      </c>
      <c r="Q12" s="2"/>
      <c r="R12" s="2"/>
      <c r="S12" s="2">
        <f>16</f>
        <v>16</v>
      </c>
      <c r="T12" s="2"/>
      <c r="U12" s="2"/>
      <c r="V12" s="2"/>
      <c r="W12" s="2"/>
      <c r="X12" s="2">
        <f>15</f>
        <v>15</v>
      </c>
      <c r="Y12" s="2"/>
      <c r="Z12" s="2">
        <f>15</f>
        <v>15</v>
      </c>
      <c r="AA12" s="2">
        <f>16</f>
        <v>16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>
        <f>16</f>
        <v>16</v>
      </c>
      <c r="AN12" s="2">
        <f>16</f>
        <v>16</v>
      </c>
      <c r="AO12" s="2"/>
      <c r="AP12" s="2"/>
      <c r="AQ12" s="2"/>
      <c r="AR12" s="2"/>
      <c r="AS12" s="2">
        <f>16</f>
        <v>16</v>
      </c>
      <c r="AT12" s="2"/>
      <c r="AU12" s="2"/>
      <c r="AV12" s="2"/>
      <c r="AW12" s="2"/>
      <c r="AX12" s="2">
        <f>16</f>
        <v>16</v>
      </c>
      <c r="AY12" s="2">
        <f>15+15</f>
        <v>30</v>
      </c>
      <c r="AZ12" s="2"/>
      <c r="BA12" s="2"/>
      <c r="BB12" s="2">
        <f>15</f>
        <v>15</v>
      </c>
      <c r="BC12" s="2">
        <f>16+16</f>
        <v>32</v>
      </c>
      <c r="BD12" s="2"/>
      <c r="BE12" s="2"/>
      <c r="BF12" s="2"/>
      <c r="BG12" s="2">
        <f>15</f>
        <v>15</v>
      </c>
      <c r="BH12" s="2"/>
      <c r="BI12" s="2">
        <f>15</f>
        <v>15</v>
      </c>
      <c r="BJ12" s="3"/>
      <c r="BK12" s="3">
        <f>17.5+25+16+16+16+16+16</f>
        <v>122.5</v>
      </c>
      <c r="BL12" s="3"/>
      <c r="BM12" s="3">
        <f>15</f>
        <v>15</v>
      </c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5.75" customHeight="1">
      <c r="A13" s="12" t="s">
        <v>102</v>
      </c>
      <c r="B13" s="26">
        <f t="shared" si="0"/>
        <v>58.857142857142854</v>
      </c>
      <c r="C13" s="22" t="s">
        <v>108</v>
      </c>
      <c r="D13" s="31">
        <f t="shared" si="1"/>
        <v>7</v>
      </c>
      <c r="E13" s="22" t="s">
        <v>107</v>
      </c>
      <c r="F13" s="28">
        <f t="shared" si="3"/>
        <v>1.944267478351148</v>
      </c>
      <c r="G13" s="29" t="s">
        <v>109</v>
      </c>
      <c r="H13" s="27">
        <f t="shared" si="2"/>
        <v>412</v>
      </c>
      <c r="I13" s="30" t="s">
        <v>106</v>
      </c>
      <c r="J13" s="24"/>
      <c r="K13" s="2"/>
      <c r="L13" s="2"/>
      <c r="M13" s="2"/>
      <c r="N13" s="2"/>
      <c r="O13" s="2">
        <f>35</f>
        <v>35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>
        <f>35+17+30</f>
        <v>82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>
        <f>35</f>
        <v>35</v>
      </c>
      <c r="BG13" s="2">
        <f>50</f>
        <v>50</v>
      </c>
      <c r="BH13" s="2"/>
      <c r="BI13" s="2">
        <f>35</f>
        <v>35</v>
      </c>
      <c r="BJ13" s="3">
        <f>35+35+35</f>
        <v>105</v>
      </c>
      <c r="BK13" s="3"/>
      <c r="BL13" s="3"/>
      <c r="BM13" s="3"/>
      <c r="BN13" s="3"/>
      <c r="BO13" s="3"/>
      <c r="BP13" s="3"/>
      <c r="BQ13" s="3"/>
      <c r="BR13" s="3">
        <f>70</f>
        <v>70</v>
      </c>
      <c r="BS13" s="3"/>
      <c r="BT13" s="3"/>
      <c r="BU13" s="3"/>
      <c r="BV13" s="3"/>
      <c r="BW13" s="3"/>
    </row>
    <row r="14" spans="1:75" ht="15.75" customHeight="1">
      <c r="A14" s="18" t="s">
        <v>11</v>
      </c>
      <c r="B14" s="38">
        <f t="shared" si="0"/>
        <v>18.583333333333332</v>
      </c>
      <c r="C14" s="21" t="s">
        <v>108</v>
      </c>
      <c r="D14" s="39">
        <f t="shared" si="1"/>
        <v>18</v>
      </c>
      <c r="E14" s="21" t="s">
        <v>107</v>
      </c>
      <c r="F14" s="34">
        <f t="shared" si="3"/>
        <v>1.5785375522049976</v>
      </c>
      <c r="G14" s="35" t="s">
        <v>109</v>
      </c>
      <c r="H14" s="40">
        <f t="shared" si="2"/>
        <v>334.5</v>
      </c>
      <c r="I14" s="37" t="s">
        <v>106</v>
      </c>
      <c r="J14" s="24"/>
      <c r="K14" s="2"/>
      <c r="L14" s="2"/>
      <c r="M14" s="2">
        <f>17</f>
        <v>17</v>
      </c>
      <c r="N14" s="2">
        <f>17</f>
        <v>17</v>
      </c>
      <c r="O14" s="2"/>
      <c r="P14" s="2"/>
      <c r="Q14" s="2"/>
      <c r="R14" s="2"/>
      <c r="S14" s="2"/>
      <c r="T14" s="2">
        <f>17.5</f>
        <v>17.5</v>
      </c>
      <c r="U14" s="2"/>
      <c r="V14" s="2"/>
      <c r="W14" s="2"/>
      <c r="X14" s="2"/>
      <c r="Y14" s="2"/>
      <c r="Z14" s="2"/>
      <c r="AA14" s="2"/>
      <c r="AB14" s="2"/>
      <c r="AC14" s="2">
        <f>17</f>
        <v>17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>
        <f>17</f>
        <v>17</v>
      </c>
      <c r="AP14" s="2"/>
      <c r="AQ14" s="2">
        <f>17</f>
        <v>17</v>
      </c>
      <c r="AR14" s="2"/>
      <c r="AS14" s="2"/>
      <c r="AT14" s="2">
        <f>17+17</f>
        <v>34</v>
      </c>
      <c r="AU14" s="2"/>
      <c r="AV14" s="2"/>
      <c r="AW14" s="2"/>
      <c r="AX14" s="2">
        <f>17</f>
        <v>17</v>
      </c>
      <c r="AY14" s="2">
        <f>17</f>
        <v>17</v>
      </c>
      <c r="AZ14" s="2"/>
      <c r="BA14" s="2"/>
      <c r="BB14" s="2">
        <f>17+15</f>
        <v>32</v>
      </c>
      <c r="BC14" s="2">
        <f>17</f>
        <v>17</v>
      </c>
      <c r="BD14" s="2">
        <f>17</f>
        <v>17</v>
      </c>
      <c r="BE14" s="2">
        <f>15</f>
        <v>15</v>
      </c>
      <c r="BF14" s="2"/>
      <c r="BG14" s="2">
        <f>17</f>
        <v>17</v>
      </c>
      <c r="BH14" s="2">
        <f>17</f>
        <v>17</v>
      </c>
      <c r="BI14" s="2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>
        <f>17</f>
        <v>17</v>
      </c>
      <c r="BU14" s="3">
        <f>15</f>
        <v>15</v>
      </c>
      <c r="BV14" s="3">
        <f>17</f>
        <v>17</v>
      </c>
      <c r="BW14" s="3"/>
    </row>
    <row r="15" spans="1:75" ht="15.75" customHeight="1">
      <c r="A15" s="14" t="s">
        <v>97</v>
      </c>
      <c r="B15" s="26">
        <f t="shared" si="0"/>
        <v>19.375</v>
      </c>
      <c r="C15" s="22" t="s">
        <v>108</v>
      </c>
      <c r="D15" s="31">
        <f t="shared" si="1"/>
        <v>16</v>
      </c>
      <c r="E15" s="22" t="s">
        <v>107</v>
      </c>
      <c r="F15" s="28">
        <f t="shared" si="3"/>
        <v>1.4629197045846016</v>
      </c>
      <c r="G15" s="29" t="s">
        <v>109</v>
      </c>
      <c r="H15" s="27">
        <f t="shared" si="2"/>
        <v>310</v>
      </c>
      <c r="I15" s="30" t="s">
        <v>106</v>
      </c>
      <c r="J15" s="2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>
        <f>17</f>
        <v>17</v>
      </c>
      <c r="AY15" s="2">
        <f>17</f>
        <v>17</v>
      </c>
      <c r="AZ15" s="2">
        <f>17</f>
        <v>17</v>
      </c>
      <c r="BA15" s="2">
        <f>17</f>
        <v>17</v>
      </c>
      <c r="BB15" s="2">
        <f>17</f>
        <v>17</v>
      </c>
      <c r="BC15" s="2">
        <f>17+15</f>
        <v>32</v>
      </c>
      <c r="BD15" s="2"/>
      <c r="BE15" s="2"/>
      <c r="BF15" s="2"/>
      <c r="BG15" s="2">
        <f>17</f>
        <v>17</v>
      </c>
      <c r="BH15" s="2">
        <f>17</f>
        <v>17</v>
      </c>
      <c r="BI15" s="2">
        <f>15</f>
        <v>15</v>
      </c>
      <c r="BJ15" s="3"/>
      <c r="BK15" s="3"/>
      <c r="BL15" s="3"/>
      <c r="BM15" s="3">
        <f>15</f>
        <v>15</v>
      </c>
      <c r="BN15" s="3">
        <f>17</f>
        <v>17</v>
      </c>
      <c r="BO15" s="3">
        <f>15</f>
        <v>15</v>
      </c>
      <c r="BP15" s="3"/>
      <c r="BQ15" s="3">
        <f>15</f>
        <v>15</v>
      </c>
      <c r="BR15" s="3"/>
      <c r="BS15" s="3">
        <f>17</f>
        <v>17</v>
      </c>
      <c r="BT15" s="3"/>
      <c r="BU15" s="3"/>
      <c r="BV15" s="3">
        <f>15</f>
        <v>15</v>
      </c>
      <c r="BW15" s="3">
        <f>35+15</f>
        <v>50</v>
      </c>
    </row>
    <row r="16" spans="1:75" ht="15.75" customHeight="1">
      <c r="A16" s="12" t="s">
        <v>7</v>
      </c>
      <c r="B16" s="38">
        <f t="shared" si="0"/>
        <v>24.555555555555557</v>
      </c>
      <c r="C16" s="21" t="s">
        <v>108</v>
      </c>
      <c r="D16" s="39">
        <f t="shared" si="1"/>
        <v>9</v>
      </c>
      <c r="E16" s="21" t="s">
        <v>107</v>
      </c>
      <c r="F16" s="34">
        <f t="shared" si="3"/>
        <v>1.0429201764941838</v>
      </c>
      <c r="G16" s="35" t="s">
        <v>109</v>
      </c>
      <c r="H16" s="40">
        <f t="shared" si="2"/>
        <v>221</v>
      </c>
      <c r="I16" s="37" t="s">
        <v>106</v>
      </c>
      <c r="J16" s="2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f>15+17</f>
        <v>32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>
        <f>16+16</f>
        <v>32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>
        <f>15</f>
        <v>15</v>
      </c>
      <c r="AZ16" s="2"/>
      <c r="BA16" s="2"/>
      <c r="BB16" s="2">
        <f>15</f>
        <v>15</v>
      </c>
      <c r="BC16" s="2"/>
      <c r="BD16" s="2"/>
      <c r="BE16" s="2"/>
      <c r="BF16" s="2"/>
      <c r="BG16" s="2">
        <f>15</f>
        <v>15</v>
      </c>
      <c r="BH16" s="2">
        <f>15</f>
        <v>15</v>
      </c>
      <c r="BI16" s="2"/>
      <c r="BJ16" s="3"/>
      <c r="BK16" s="3"/>
      <c r="BL16" s="3"/>
      <c r="BM16" s="3">
        <f>15+17</f>
        <v>32</v>
      </c>
      <c r="BN16" s="3"/>
      <c r="BO16" s="3"/>
      <c r="BP16" s="3"/>
      <c r="BQ16" s="3"/>
      <c r="BR16" s="3"/>
      <c r="BS16" s="3">
        <f>16+17</f>
        <v>33</v>
      </c>
      <c r="BT16" s="3"/>
      <c r="BU16" s="3"/>
      <c r="BV16" s="3"/>
      <c r="BW16" s="3">
        <f>15+17</f>
        <v>32</v>
      </c>
    </row>
    <row r="17" spans="1:75" ht="15.75" customHeight="1">
      <c r="A17" s="14" t="s">
        <v>27</v>
      </c>
      <c r="B17" s="26">
        <f t="shared" si="0"/>
        <v>8.208333333333334</v>
      </c>
      <c r="C17" s="22" t="s">
        <v>108</v>
      </c>
      <c r="D17" s="31">
        <f t="shared" si="1"/>
        <v>24</v>
      </c>
      <c r="E17" s="22" t="s">
        <v>107</v>
      </c>
      <c r="F17" s="28">
        <f t="shared" si="3"/>
        <v>0.9296618767844081</v>
      </c>
      <c r="G17" s="29" t="s">
        <v>109</v>
      </c>
      <c r="H17" s="27">
        <f t="shared" si="2"/>
        <v>197</v>
      </c>
      <c r="I17" s="30" t="s">
        <v>106</v>
      </c>
      <c r="J17" s="24">
        <f>6</f>
        <v>6</v>
      </c>
      <c r="K17" s="2"/>
      <c r="L17" s="2">
        <f>4</f>
        <v>4</v>
      </c>
      <c r="M17" s="2"/>
      <c r="N17" s="2"/>
      <c r="O17" s="2">
        <f>6</f>
        <v>6</v>
      </c>
      <c r="P17" s="2"/>
      <c r="Q17" s="2">
        <f>3</f>
        <v>3</v>
      </c>
      <c r="R17" s="2">
        <f>5</f>
        <v>5</v>
      </c>
      <c r="S17" s="2">
        <f>6</f>
        <v>6</v>
      </c>
      <c r="T17" s="2">
        <f>6</f>
        <v>6</v>
      </c>
      <c r="U17" s="2">
        <f>6</f>
        <v>6</v>
      </c>
      <c r="V17" s="2"/>
      <c r="W17" s="2"/>
      <c r="X17" s="2"/>
      <c r="Y17" s="10"/>
      <c r="Z17" s="2"/>
      <c r="AA17" s="2">
        <f>5</f>
        <v>5</v>
      </c>
      <c r="AB17" s="2"/>
      <c r="AC17" s="2">
        <f>6</f>
        <v>6</v>
      </c>
      <c r="AD17" s="2"/>
      <c r="AE17" s="2"/>
      <c r="AF17" s="2"/>
      <c r="AG17" s="2"/>
      <c r="AH17" s="2"/>
      <c r="AI17" s="2"/>
      <c r="AJ17" s="2"/>
      <c r="AK17" s="2"/>
      <c r="AL17" s="2">
        <f>6</f>
        <v>6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>
        <f>6</f>
        <v>6</v>
      </c>
      <c r="AY17" s="2"/>
      <c r="AZ17" s="2">
        <f>3</f>
        <v>3</v>
      </c>
      <c r="BA17" s="2">
        <f>3</f>
        <v>3</v>
      </c>
      <c r="BB17" s="2">
        <f>4</f>
        <v>4</v>
      </c>
      <c r="BC17" s="2">
        <f>4</f>
        <v>4</v>
      </c>
      <c r="BD17" s="8">
        <f>35+35+6</f>
        <v>76</v>
      </c>
      <c r="BE17" s="2"/>
      <c r="BF17" s="2"/>
      <c r="BG17" s="2">
        <f>6</f>
        <v>6</v>
      </c>
      <c r="BH17" s="2"/>
      <c r="BI17" s="2">
        <f>6</f>
        <v>6</v>
      </c>
      <c r="BJ17" s="3"/>
      <c r="BK17" s="3"/>
      <c r="BL17" s="3"/>
      <c r="BM17" s="3">
        <f>6</f>
        <v>6</v>
      </c>
      <c r="BN17" s="3"/>
      <c r="BO17" s="3">
        <f>6</f>
        <v>6</v>
      </c>
      <c r="BP17" s="3"/>
      <c r="BQ17" s="3">
        <f>6</f>
        <v>6</v>
      </c>
      <c r="BR17" s="3"/>
      <c r="BS17" s="3">
        <f>6</f>
        <v>6</v>
      </c>
      <c r="BT17" s="3"/>
      <c r="BU17" s="3"/>
      <c r="BV17" s="3"/>
      <c r="BW17" s="3">
        <f>6</f>
        <v>6</v>
      </c>
    </row>
    <row r="18" spans="1:75" ht="15.75" customHeight="1">
      <c r="A18" s="19" t="s">
        <v>0</v>
      </c>
      <c r="B18" s="38">
        <f t="shared" si="0"/>
        <v>20.833333333333332</v>
      </c>
      <c r="C18" s="21" t="s">
        <v>108</v>
      </c>
      <c r="D18" s="39">
        <f t="shared" si="1"/>
        <v>9</v>
      </c>
      <c r="E18" s="21" t="s">
        <v>107</v>
      </c>
      <c r="F18" s="34">
        <f t="shared" si="3"/>
        <v>0.884830466482622</v>
      </c>
      <c r="G18" s="35" t="s">
        <v>109</v>
      </c>
      <c r="H18" s="40">
        <f t="shared" si="2"/>
        <v>187.5</v>
      </c>
      <c r="I18" s="37" t="s">
        <v>106</v>
      </c>
      <c r="J18" s="24"/>
      <c r="K18" s="2"/>
      <c r="L18" s="2"/>
      <c r="M18" s="2"/>
      <c r="N18" s="2"/>
      <c r="O18" s="2"/>
      <c r="P18" s="2"/>
      <c r="Q18" s="2"/>
      <c r="R18" s="2"/>
      <c r="S18" s="2">
        <f>17.5</f>
        <v>17.5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f>35</f>
        <v>35</v>
      </c>
      <c r="AL18" s="2"/>
      <c r="AM18" s="2"/>
      <c r="AN18" s="2"/>
      <c r="AO18" s="2"/>
      <c r="AP18" s="2"/>
      <c r="AQ18" s="2"/>
      <c r="AR18" s="2"/>
      <c r="AS18" s="2"/>
      <c r="AT18" s="2">
        <f>17</f>
        <v>17</v>
      </c>
      <c r="AU18" s="2"/>
      <c r="AV18" s="2">
        <f>16</f>
        <v>16</v>
      </c>
      <c r="AW18" s="2"/>
      <c r="AX18" s="2">
        <f>16</f>
        <v>16</v>
      </c>
      <c r="AY18" s="2"/>
      <c r="AZ18" s="2"/>
      <c r="BA18" s="2"/>
      <c r="BB18" s="2"/>
      <c r="BC18" s="2">
        <f>17</f>
        <v>17</v>
      </c>
      <c r="BD18" s="2"/>
      <c r="BE18" s="2"/>
      <c r="BF18" s="2"/>
      <c r="BG18" s="2"/>
      <c r="BH18" s="2"/>
      <c r="BI18" s="2"/>
      <c r="BJ18" s="3"/>
      <c r="BK18" s="3"/>
      <c r="BL18" s="3"/>
      <c r="BM18" s="3"/>
      <c r="BN18" s="3">
        <f>17</f>
        <v>17</v>
      </c>
      <c r="BO18" s="3"/>
      <c r="BP18" s="3"/>
      <c r="BQ18" s="3"/>
      <c r="BR18" s="3"/>
      <c r="BS18" s="3"/>
      <c r="BT18" s="3"/>
      <c r="BU18" s="3"/>
      <c r="BV18" s="3">
        <f>35</f>
        <v>35</v>
      </c>
      <c r="BW18" s="3">
        <f>17</f>
        <v>17</v>
      </c>
    </row>
    <row r="19" spans="1:75" ht="15.75" customHeight="1">
      <c r="A19" s="14" t="s">
        <v>2</v>
      </c>
      <c r="B19" s="26">
        <f t="shared" si="0"/>
        <v>17.6</v>
      </c>
      <c r="C19" s="22" t="s">
        <v>108</v>
      </c>
      <c r="D19" s="31">
        <f t="shared" si="1"/>
        <v>10</v>
      </c>
      <c r="E19" s="22" t="s">
        <v>107</v>
      </c>
      <c r="F19" s="28">
        <f t="shared" si="3"/>
        <v>0.8305608645383544</v>
      </c>
      <c r="G19" s="29" t="s">
        <v>109</v>
      </c>
      <c r="H19" s="27">
        <f t="shared" si="2"/>
        <v>176</v>
      </c>
      <c r="I19" s="30" t="s">
        <v>106</v>
      </c>
      <c r="J19" s="24"/>
      <c r="K19" s="2"/>
      <c r="L19" s="2"/>
      <c r="M19" s="2"/>
      <c r="N19" s="2"/>
      <c r="O19" s="2">
        <f>17</f>
        <v>17</v>
      </c>
      <c r="P19" s="2"/>
      <c r="Q19" s="2"/>
      <c r="R19" s="2"/>
      <c r="S19" s="2"/>
      <c r="T19" s="2"/>
      <c r="U19" s="2"/>
      <c r="V19" s="2"/>
      <c r="W19" s="2">
        <f>17</f>
        <v>17</v>
      </c>
      <c r="X19" s="2"/>
      <c r="Y19" s="2"/>
      <c r="Z19" s="2"/>
      <c r="AA19" s="2"/>
      <c r="AB19" s="2"/>
      <c r="AC19" s="2">
        <f>17</f>
        <v>17</v>
      </c>
      <c r="AD19" s="2"/>
      <c r="AE19" s="2"/>
      <c r="AF19" s="2"/>
      <c r="AG19" s="2"/>
      <c r="AH19" s="2"/>
      <c r="AI19" s="2"/>
      <c r="AJ19" s="2">
        <f>16</f>
        <v>16</v>
      </c>
      <c r="AK19" s="2"/>
      <c r="AL19" s="2"/>
      <c r="AM19" s="2"/>
      <c r="AN19" s="2"/>
      <c r="AO19" s="2"/>
      <c r="AP19" s="2"/>
      <c r="AQ19" s="2">
        <f>17</f>
        <v>17</v>
      </c>
      <c r="AR19" s="2"/>
      <c r="AS19" s="2"/>
      <c r="AT19" s="2"/>
      <c r="AU19" s="2"/>
      <c r="AV19" s="2">
        <f>17</f>
        <v>17</v>
      </c>
      <c r="AW19" s="2"/>
      <c r="AX19" s="2"/>
      <c r="AY19" s="2"/>
      <c r="AZ19" s="2"/>
      <c r="BA19" s="2"/>
      <c r="BB19" s="2">
        <f>25</f>
        <v>25</v>
      </c>
      <c r="BC19" s="2"/>
      <c r="BD19" s="2"/>
      <c r="BE19" s="2"/>
      <c r="BF19" s="2"/>
      <c r="BG19" s="2"/>
      <c r="BH19" s="2">
        <f>17</f>
        <v>17</v>
      </c>
      <c r="BI19" s="2"/>
      <c r="BJ19" s="3"/>
      <c r="BK19" s="3"/>
      <c r="BL19" s="3">
        <f>16</f>
        <v>16</v>
      </c>
      <c r="BM19" s="3"/>
      <c r="BN19" s="3"/>
      <c r="BO19" s="3"/>
      <c r="BP19" s="3"/>
      <c r="BQ19" s="3"/>
      <c r="BR19" s="3"/>
      <c r="BS19" s="3"/>
      <c r="BT19" s="3"/>
      <c r="BU19" s="3"/>
      <c r="BV19" s="3">
        <f>17</f>
        <v>17</v>
      </c>
      <c r="BW19" s="3"/>
    </row>
    <row r="20" spans="1:75" ht="15.75" customHeight="1">
      <c r="A20" s="14" t="s">
        <v>12</v>
      </c>
      <c r="B20" s="38">
        <f t="shared" si="0"/>
        <v>18.625</v>
      </c>
      <c r="C20" s="21" t="s">
        <v>108</v>
      </c>
      <c r="D20" s="39">
        <f t="shared" si="1"/>
        <v>8</v>
      </c>
      <c r="E20" s="21" t="s">
        <v>107</v>
      </c>
      <c r="F20" s="34">
        <f t="shared" si="3"/>
        <v>0.7031452773648569</v>
      </c>
      <c r="G20" s="35" t="s">
        <v>109</v>
      </c>
      <c r="H20" s="40">
        <f t="shared" si="2"/>
        <v>149</v>
      </c>
      <c r="I20" s="37" t="s">
        <v>106</v>
      </c>
      <c r="J20" s="2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>
        <f>17</f>
        <v>17</v>
      </c>
      <c r="AT20" s="3">
        <f>17</f>
        <v>17</v>
      </c>
      <c r="AU20" s="3"/>
      <c r="AV20" s="3">
        <f>17</f>
        <v>17</v>
      </c>
      <c r="AW20" s="3"/>
      <c r="AX20" s="3"/>
      <c r="AY20" s="3"/>
      <c r="AZ20" s="3">
        <f>17</f>
        <v>17</v>
      </c>
      <c r="BA20" s="3"/>
      <c r="BB20" s="3"/>
      <c r="BC20" s="3"/>
      <c r="BD20" s="3"/>
      <c r="BE20" s="3"/>
      <c r="BF20" s="3"/>
      <c r="BG20" s="3">
        <f>15</f>
        <v>15</v>
      </c>
      <c r="BH20" s="3"/>
      <c r="BI20" s="3"/>
      <c r="BJ20" s="3"/>
      <c r="BK20" s="3"/>
      <c r="BL20" s="3"/>
      <c r="BM20" s="3"/>
      <c r="BN20" s="3"/>
      <c r="BO20" s="3">
        <f>32</f>
        <v>32</v>
      </c>
      <c r="BP20" s="3"/>
      <c r="BQ20" s="3"/>
      <c r="BR20" s="3"/>
      <c r="BS20" s="3">
        <f>17</f>
        <v>17</v>
      </c>
      <c r="BT20" s="3"/>
      <c r="BU20" s="3"/>
      <c r="BV20" s="3">
        <f>17</f>
        <v>17</v>
      </c>
      <c r="BW20" s="3"/>
    </row>
    <row r="21" spans="1:75" ht="15.75" customHeight="1">
      <c r="A21" s="14" t="s">
        <v>99</v>
      </c>
      <c r="B21" s="26">
        <f t="shared" si="0"/>
        <v>26</v>
      </c>
      <c r="C21" s="22" t="s">
        <v>108</v>
      </c>
      <c r="D21" s="31">
        <f t="shared" si="1"/>
        <v>5</v>
      </c>
      <c r="E21" s="22" t="s">
        <v>107</v>
      </c>
      <c r="F21" s="28">
        <f t="shared" si="3"/>
        <v>0.6134824567612845</v>
      </c>
      <c r="G21" s="29" t="s">
        <v>109</v>
      </c>
      <c r="H21" s="27">
        <f t="shared" si="2"/>
        <v>130</v>
      </c>
      <c r="I21" s="30" t="s">
        <v>106</v>
      </c>
      <c r="J21" s="25"/>
      <c r="K21" s="3"/>
      <c r="L21" s="3"/>
      <c r="M21" s="3"/>
      <c r="N21" s="3"/>
      <c r="O21" s="3"/>
      <c r="P21" s="3"/>
      <c r="Q21" s="3">
        <f>25</f>
        <v>25</v>
      </c>
      <c r="R21" s="3">
        <f>25</f>
        <v>25</v>
      </c>
      <c r="S21" s="3"/>
      <c r="T21" s="3"/>
      <c r="U21" s="3"/>
      <c r="V21" s="3">
        <v>30</v>
      </c>
      <c r="W21" s="3"/>
      <c r="X21" s="3">
        <f>25</f>
        <v>25</v>
      </c>
      <c r="Y21" s="3"/>
      <c r="Z21" s="3">
        <f>25</f>
        <v>25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ht="15.75" customHeight="1">
      <c r="A22" s="14" t="s">
        <v>98</v>
      </c>
      <c r="B22" s="38">
        <f t="shared" si="0"/>
        <v>21.333333333333332</v>
      </c>
      <c r="C22" s="21" t="s">
        <v>108</v>
      </c>
      <c r="D22" s="39">
        <f t="shared" si="1"/>
        <v>6</v>
      </c>
      <c r="E22" s="21" t="s">
        <v>107</v>
      </c>
      <c r="F22" s="34">
        <f t="shared" si="3"/>
        <v>0.6040442651188033</v>
      </c>
      <c r="G22" s="35" t="s">
        <v>109</v>
      </c>
      <c r="H22" s="40">
        <f t="shared" si="2"/>
        <v>128</v>
      </c>
      <c r="I22" s="37" t="s">
        <v>106</v>
      </c>
      <c r="J22" s="2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f>15+15+17</f>
        <v>47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>
        <f>16</f>
        <v>16</v>
      </c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>
        <f>17</f>
        <v>17</v>
      </c>
      <c r="AY22" s="2"/>
      <c r="AZ22" s="2"/>
      <c r="BA22" s="2"/>
      <c r="BB22" s="2"/>
      <c r="BC22" s="2">
        <f>17</f>
        <v>17</v>
      </c>
      <c r="BD22" s="2"/>
      <c r="BE22" s="2"/>
      <c r="BF22" s="2"/>
      <c r="BG22" s="2">
        <f>15</f>
        <v>15</v>
      </c>
      <c r="BH22" s="2"/>
      <c r="BI22" s="2"/>
      <c r="BJ22" s="3"/>
      <c r="BK22" s="3">
        <f>16</f>
        <v>16</v>
      </c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ht="15.75" customHeight="1">
      <c r="A23" s="14" t="s">
        <v>100</v>
      </c>
      <c r="B23" s="26">
        <f t="shared" si="0"/>
        <v>27.5</v>
      </c>
      <c r="C23" s="22" t="s">
        <v>108</v>
      </c>
      <c r="D23" s="31">
        <f t="shared" si="1"/>
        <v>4</v>
      </c>
      <c r="E23" s="22" t="s">
        <v>107</v>
      </c>
      <c r="F23" s="28">
        <f t="shared" si="3"/>
        <v>0.5191005403364716</v>
      </c>
      <c r="G23" s="29" t="s">
        <v>109</v>
      </c>
      <c r="H23" s="27">
        <f t="shared" si="2"/>
        <v>110</v>
      </c>
      <c r="I23" s="30" t="s">
        <v>106</v>
      </c>
      <c r="J23" s="25"/>
      <c r="K23" s="3"/>
      <c r="L23" s="3">
        <f>25+15</f>
        <v>40</v>
      </c>
      <c r="M23" s="3"/>
      <c r="N23" s="3"/>
      <c r="O23" s="3">
        <f>15</f>
        <v>15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>
        <f>30</f>
        <v>30</v>
      </c>
      <c r="AS23" s="3"/>
      <c r="AT23" s="3"/>
      <c r="AU23" s="3"/>
      <c r="AV23" s="3">
        <f>25</f>
        <v>25</v>
      </c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ht="15.75" customHeight="1">
      <c r="A24" s="14" t="s">
        <v>17</v>
      </c>
      <c r="B24" s="38">
        <f t="shared" si="0"/>
        <v>19.25</v>
      </c>
      <c r="C24" s="21" t="s">
        <v>108</v>
      </c>
      <c r="D24" s="39">
        <f t="shared" si="1"/>
        <v>4</v>
      </c>
      <c r="E24" s="21" t="s">
        <v>107</v>
      </c>
      <c r="F24" s="34">
        <f t="shared" si="3"/>
        <v>0.3633703782355301</v>
      </c>
      <c r="G24" s="35" t="s">
        <v>109</v>
      </c>
      <c r="H24" s="40">
        <f t="shared" si="2"/>
        <v>77</v>
      </c>
      <c r="I24" s="37" t="s">
        <v>106</v>
      </c>
      <c r="J24" s="25"/>
      <c r="K24" s="3"/>
      <c r="L24" s="3"/>
      <c r="M24" s="3"/>
      <c r="N24" s="3"/>
      <c r="O24" s="3"/>
      <c r="P24" s="3">
        <f>16+15</f>
        <v>31</v>
      </c>
      <c r="Q24" s="3"/>
      <c r="R24" s="3"/>
      <c r="S24" s="3"/>
      <c r="T24" s="3"/>
      <c r="U24" s="3"/>
      <c r="V24" s="3"/>
      <c r="W24" s="3">
        <f>15</f>
        <v>15</v>
      </c>
      <c r="X24" s="3"/>
      <c r="Y24" s="3"/>
      <c r="Z24" s="3"/>
      <c r="AA24" s="3"/>
      <c r="AB24" s="3"/>
      <c r="AC24" s="3"/>
      <c r="AD24" s="3"/>
      <c r="AE24" s="3">
        <f>16</f>
        <v>16</v>
      </c>
      <c r="AF24" s="3"/>
      <c r="AG24" s="3"/>
      <c r="AH24" s="3"/>
      <c r="AI24" s="3"/>
      <c r="AJ24" s="3"/>
      <c r="AK24" s="3"/>
      <c r="AL24" s="3"/>
      <c r="AM24" s="3"/>
      <c r="AN24" s="3">
        <f>15</f>
        <v>15</v>
      </c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ht="15.75" customHeight="1">
      <c r="A25" s="14" t="s">
        <v>101</v>
      </c>
      <c r="B25" s="26">
        <f t="shared" si="0"/>
        <v>52</v>
      </c>
      <c r="C25" s="22" t="s">
        <v>108</v>
      </c>
      <c r="D25" s="31">
        <f t="shared" si="1"/>
        <v>1</v>
      </c>
      <c r="E25" s="22" t="s">
        <v>107</v>
      </c>
      <c r="F25" s="28">
        <f t="shared" si="3"/>
        <v>0.24539298270451382</v>
      </c>
      <c r="G25" s="29" t="s">
        <v>109</v>
      </c>
      <c r="H25" s="27">
        <f t="shared" si="2"/>
        <v>52</v>
      </c>
      <c r="I25" s="30" t="s">
        <v>106</v>
      </c>
      <c r="J25" s="24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f>35+17</f>
        <v>52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ht="15.75" customHeight="1">
      <c r="A26" s="12" t="s">
        <v>1</v>
      </c>
      <c r="B26" s="38">
        <f t="shared" si="0"/>
        <v>15.5</v>
      </c>
      <c r="C26" s="21" t="s">
        <v>108</v>
      </c>
      <c r="D26" s="39">
        <f t="shared" si="1"/>
        <v>2</v>
      </c>
      <c r="E26" s="21" t="s">
        <v>107</v>
      </c>
      <c r="F26" s="34">
        <f t="shared" si="3"/>
        <v>0.14629197045846015</v>
      </c>
      <c r="G26" s="35" t="s">
        <v>109</v>
      </c>
      <c r="H26" s="40">
        <f t="shared" si="2"/>
        <v>31</v>
      </c>
      <c r="I26" s="37" t="s">
        <v>106</v>
      </c>
      <c r="J26" s="2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3"/>
      <c r="BK26" s="3"/>
      <c r="BL26" s="3"/>
      <c r="BM26" s="3">
        <f>15</f>
        <v>15</v>
      </c>
      <c r="BN26" s="3">
        <f>16</f>
        <v>16</v>
      </c>
      <c r="BO26" s="3"/>
      <c r="BP26" s="3"/>
      <c r="BQ26" s="3"/>
      <c r="BR26" s="3"/>
      <c r="BS26" s="3"/>
      <c r="BT26" s="3"/>
      <c r="BU26" s="3"/>
      <c r="BV26" s="3"/>
      <c r="BW26" s="3"/>
    </row>
    <row r="27" spans="1:75" ht="15.75" customHeight="1">
      <c r="A27" s="14" t="s">
        <v>3</v>
      </c>
      <c r="B27" s="26">
        <v>0</v>
      </c>
      <c r="C27" s="22" t="s">
        <v>108</v>
      </c>
      <c r="D27" s="31">
        <f t="shared" si="1"/>
        <v>0</v>
      </c>
      <c r="E27" s="22" t="s">
        <v>107</v>
      </c>
      <c r="F27" s="28">
        <f t="shared" si="3"/>
        <v>0</v>
      </c>
      <c r="G27" s="29" t="s">
        <v>109</v>
      </c>
      <c r="H27" s="27">
        <f t="shared" si="2"/>
        <v>0</v>
      </c>
      <c r="I27" s="30" t="s">
        <v>106</v>
      </c>
      <c r="J27" s="2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ht="15.75" customHeight="1">
      <c r="A28" s="12" t="s">
        <v>5</v>
      </c>
      <c r="B28" s="38">
        <v>0</v>
      </c>
      <c r="C28" s="21" t="s">
        <v>108</v>
      </c>
      <c r="D28" s="39">
        <f t="shared" si="1"/>
        <v>0</v>
      </c>
      <c r="E28" s="21" t="s">
        <v>107</v>
      </c>
      <c r="F28" s="34">
        <f t="shared" si="3"/>
        <v>0</v>
      </c>
      <c r="G28" s="35" t="s">
        <v>109</v>
      </c>
      <c r="H28" s="40">
        <f t="shared" si="2"/>
        <v>0</v>
      </c>
      <c r="I28" s="37" t="s">
        <v>106</v>
      </c>
      <c r="J28" s="2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ht="25.5">
      <c r="A29" s="20" t="s">
        <v>14</v>
      </c>
      <c r="B29" s="32">
        <f>H29/D29</f>
        <v>49.28023255813954</v>
      </c>
      <c r="C29" s="21" t="s">
        <v>108</v>
      </c>
      <c r="D29" s="33">
        <f>SUM(D3:D28)</f>
        <v>430</v>
      </c>
      <c r="E29" s="21" t="s">
        <v>107</v>
      </c>
      <c r="F29" s="34">
        <f t="shared" si="3"/>
        <v>100</v>
      </c>
      <c r="G29" s="35" t="s">
        <v>109</v>
      </c>
      <c r="H29" s="36">
        <f aca="true" t="shared" si="4" ref="H29:AM29">SUM(H3:H28)</f>
        <v>21190.5</v>
      </c>
      <c r="I29" s="37" t="s">
        <v>106</v>
      </c>
      <c r="J29" s="24">
        <f t="shared" si="4"/>
        <v>269</v>
      </c>
      <c r="K29" s="2">
        <f t="shared" si="4"/>
        <v>15</v>
      </c>
      <c r="L29" s="2">
        <f t="shared" si="4"/>
        <v>474</v>
      </c>
      <c r="M29" s="2">
        <f t="shared" si="4"/>
        <v>363</v>
      </c>
      <c r="N29" s="2">
        <f t="shared" si="4"/>
        <v>499</v>
      </c>
      <c r="O29" s="2">
        <f t="shared" si="4"/>
        <v>385</v>
      </c>
      <c r="P29" s="2">
        <f t="shared" si="4"/>
        <v>449</v>
      </c>
      <c r="Q29" s="2">
        <f t="shared" si="4"/>
        <v>235</v>
      </c>
      <c r="R29" s="2">
        <f t="shared" si="4"/>
        <v>390</v>
      </c>
      <c r="S29" s="2">
        <f t="shared" si="4"/>
        <v>272.5</v>
      </c>
      <c r="T29" s="2">
        <f t="shared" si="4"/>
        <v>205.5</v>
      </c>
      <c r="U29" s="2">
        <f t="shared" si="4"/>
        <v>479</v>
      </c>
      <c r="V29" s="2">
        <f t="shared" si="4"/>
        <v>30</v>
      </c>
      <c r="W29" s="2">
        <f t="shared" si="4"/>
        <v>376</v>
      </c>
      <c r="X29" s="2">
        <f t="shared" si="4"/>
        <v>372</v>
      </c>
      <c r="Y29" s="2">
        <f t="shared" si="4"/>
        <v>30</v>
      </c>
      <c r="Z29" s="2">
        <f t="shared" si="4"/>
        <v>392</v>
      </c>
      <c r="AA29" s="2">
        <f t="shared" si="4"/>
        <v>353</v>
      </c>
      <c r="AB29" s="2">
        <f t="shared" si="4"/>
        <v>240</v>
      </c>
      <c r="AC29" s="2">
        <f t="shared" si="4"/>
        <v>426</v>
      </c>
      <c r="AD29" s="2">
        <f t="shared" si="4"/>
        <v>25</v>
      </c>
      <c r="AE29" s="2">
        <f t="shared" si="4"/>
        <v>274</v>
      </c>
      <c r="AF29" s="2">
        <f t="shared" si="4"/>
        <v>251</v>
      </c>
      <c r="AG29" s="2">
        <f t="shared" si="4"/>
        <v>231</v>
      </c>
      <c r="AH29" s="2">
        <f t="shared" si="4"/>
        <v>200</v>
      </c>
      <c r="AI29" s="2">
        <f t="shared" si="4"/>
        <v>246</v>
      </c>
      <c r="AJ29" s="2">
        <f t="shared" si="4"/>
        <v>267</v>
      </c>
      <c r="AK29" s="2">
        <f t="shared" si="4"/>
        <v>35</v>
      </c>
      <c r="AL29" s="2">
        <f t="shared" si="4"/>
        <v>182</v>
      </c>
      <c r="AM29" s="2">
        <f t="shared" si="4"/>
        <v>274</v>
      </c>
      <c r="AN29" s="2">
        <f aca="true" t="shared" si="5" ref="AN29:BS29">SUM(AN3:AN28)</f>
        <v>338</v>
      </c>
      <c r="AO29" s="2">
        <f t="shared" si="5"/>
        <v>360</v>
      </c>
      <c r="AP29" s="2">
        <f t="shared" si="5"/>
        <v>82</v>
      </c>
      <c r="AQ29" s="2">
        <f t="shared" si="5"/>
        <v>383</v>
      </c>
      <c r="AR29" s="2">
        <f t="shared" si="5"/>
        <v>30</v>
      </c>
      <c r="AS29" s="2">
        <f t="shared" si="5"/>
        <v>376</v>
      </c>
      <c r="AT29" s="2">
        <f t="shared" si="5"/>
        <v>506</v>
      </c>
      <c r="AU29" s="2">
        <f t="shared" si="5"/>
        <v>35</v>
      </c>
      <c r="AV29" s="2">
        <f t="shared" si="5"/>
        <v>510</v>
      </c>
      <c r="AW29" s="2">
        <f t="shared" si="5"/>
        <v>35</v>
      </c>
      <c r="AX29" s="2">
        <f t="shared" si="5"/>
        <v>499</v>
      </c>
      <c r="AY29" s="2">
        <f t="shared" si="5"/>
        <v>590</v>
      </c>
      <c r="AZ29" s="2">
        <f t="shared" si="5"/>
        <v>483</v>
      </c>
      <c r="BA29" s="2">
        <f t="shared" si="5"/>
        <v>346</v>
      </c>
      <c r="BB29" s="2">
        <f t="shared" si="5"/>
        <v>801</v>
      </c>
      <c r="BC29" s="2">
        <f t="shared" si="5"/>
        <v>796</v>
      </c>
      <c r="BD29" s="2">
        <f t="shared" si="5"/>
        <v>448</v>
      </c>
      <c r="BE29" s="2">
        <f t="shared" si="5"/>
        <v>50</v>
      </c>
      <c r="BF29" s="2">
        <f t="shared" si="5"/>
        <v>35</v>
      </c>
      <c r="BG29" s="2">
        <f t="shared" si="5"/>
        <v>528</v>
      </c>
      <c r="BH29" s="2">
        <f t="shared" si="5"/>
        <v>558</v>
      </c>
      <c r="BI29" s="2">
        <f t="shared" si="5"/>
        <v>574</v>
      </c>
      <c r="BJ29" s="2">
        <f t="shared" si="5"/>
        <v>105</v>
      </c>
      <c r="BK29" s="2">
        <f t="shared" si="5"/>
        <v>188.5</v>
      </c>
      <c r="BL29" s="2">
        <f t="shared" si="5"/>
        <v>234</v>
      </c>
      <c r="BM29" s="2">
        <f t="shared" si="5"/>
        <v>484</v>
      </c>
      <c r="BN29" s="2">
        <f t="shared" si="5"/>
        <v>466</v>
      </c>
      <c r="BO29" s="2">
        <f t="shared" si="5"/>
        <v>597</v>
      </c>
      <c r="BP29" s="2">
        <f t="shared" si="5"/>
        <v>140</v>
      </c>
      <c r="BQ29" s="2">
        <f t="shared" si="5"/>
        <v>188</v>
      </c>
      <c r="BR29" s="2">
        <f t="shared" si="5"/>
        <v>70</v>
      </c>
      <c r="BS29" s="2">
        <f t="shared" si="5"/>
        <v>745</v>
      </c>
      <c r="BT29" s="2">
        <f aca="true" t="shared" si="6" ref="BT29:BW29">SUM(BT3:BT28)</f>
        <v>415</v>
      </c>
      <c r="BU29" s="2">
        <f t="shared" si="6"/>
        <v>85</v>
      </c>
      <c r="BV29" s="2">
        <f t="shared" si="6"/>
        <v>383</v>
      </c>
      <c r="BW29" s="2">
        <f t="shared" si="6"/>
        <v>487</v>
      </c>
    </row>
    <row r="30" spans="10:68" ht="12.75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9" t="s">
        <v>59</v>
      </c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</sheetData>
  <sheetProtection selectLockedCells="1" selectUnlockedCells="1"/>
  <mergeCells count="5">
    <mergeCell ref="B2:C2"/>
    <mergeCell ref="D2:E2"/>
    <mergeCell ref="H2:I2"/>
    <mergeCell ref="F2:G2"/>
    <mergeCell ref="A1:BW1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 topLeftCell="A1">
      <selection activeCell="A1" sqref="A1:C25"/>
    </sheetView>
  </sheetViews>
  <sheetFormatPr defaultColWidth="9.00390625" defaultRowHeight="12.75"/>
  <sheetData>
    <row r="1" spans="1:3" ht="12.75">
      <c r="A1" t="s">
        <v>3</v>
      </c>
      <c r="C1">
        <v>0</v>
      </c>
    </row>
    <row r="2" spans="1:3" ht="12.75">
      <c r="A2" t="s">
        <v>4</v>
      </c>
      <c r="C2">
        <v>686</v>
      </c>
    </row>
    <row r="3" spans="1:3" ht="12.75">
      <c r="A3" t="s">
        <v>27</v>
      </c>
      <c r="C3">
        <v>197</v>
      </c>
    </row>
    <row r="4" spans="2:3" ht="12.75">
      <c r="B4" t="s">
        <v>28</v>
      </c>
      <c r="C4">
        <v>52</v>
      </c>
    </row>
    <row r="5" spans="1:3" ht="12.75">
      <c r="A5" t="s">
        <v>10</v>
      </c>
      <c r="C5">
        <v>5267</v>
      </c>
    </row>
    <row r="6" spans="1:3" ht="12.75">
      <c r="A6" t="s">
        <v>0</v>
      </c>
      <c r="C6">
        <v>187.5</v>
      </c>
    </row>
    <row r="7" spans="1:3" ht="12.75">
      <c r="A7" t="s">
        <v>18</v>
      </c>
      <c r="B7" t="s">
        <v>29</v>
      </c>
      <c r="C7">
        <v>1863</v>
      </c>
    </row>
    <row r="8" spans="2:3" ht="12.75">
      <c r="B8" t="s">
        <v>19</v>
      </c>
      <c r="C8">
        <v>110</v>
      </c>
    </row>
    <row r="9" spans="2:3" ht="12.75">
      <c r="B9" t="s">
        <v>30</v>
      </c>
      <c r="C9">
        <v>130</v>
      </c>
    </row>
    <row r="10" spans="1:3" ht="12.75">
      <c r="A10" t="s">
        <v>17</v>
      </c>
      <c r="C10">
        <v>77</v>
      </c>
    </row>
    <row r="11" spans="1:3" ht="12.75">
      <c r="A11" t="s">
        <v>12</v>
      </c>
      <c r="C11">
        <v>149</v>
      </c>
    </row>
    <row r="12" spans="1:3" ht="12.75">
      <c r="A12" t="s">
        <v>25</v>
      </c>
      <c r="B12" t="s">
        <v>21</v>
      </c>
      <c r="C12">
        <v>1579</v>
      </c>
    </row>
    <row r="13" spans="2:3" ht="12.75">
      <c r="B13" t="s">
        <v>22</v>
      </c>
      <c r="C13">
        <v>310</v>
      </c>
    </row>
    <row r="14" spans="2:3" ht="12.75">
      <c r="B14" t="s">
        <v>26</v>
      </c>
      <c r="C14">
        <v>128</v>
      </c>
    </row>
    <row r="15" spans="1:3" ht="12.75">
      <c r="A15" t="s">
        <v>2</v>
      </c>
      <c r="C15">
        <v>176</v>
      </c>
    </row>
    <row r="16" spans="1:3" ht="12.75">
      <c r="A16" t="s">
        <v>11</v>
      </c>
      <c r="C16">
        <v>334.5</v>
      </c>
    </row>
    <row r="17" spans="1:3" ht="12.75">
      <c r="A17" t="s">
        <v>7</v>
      </c>
      <c r="C17">
        <v>221</v>
      </c>
    </row>
    <row r="18" spans="1:3" ht="12.75">
      <c r="A18" t="s">
        <v>16</v>
      </c>
      <c r="C18">
        <v>417.5</v>
      </c>
    </row>
    <row r="19" spans="1:3" ht="12.75">
      <c r="A19" t="s">
        <v>1</v>
      </c>
      <c r="C19">
        <v>31</v>
      </c>
    </row>
    <row r="20" spans="1:3" ht="12.75">
      <c r="A20" t="s">
        <v>6</v>
      </c>
      <c r="C20">
        <v>566</v>
      </c>
    </row>
    <row r="21" spans="1:3" ht="12.75">
      <c r="A21" t="s">
        <v>9</v>
      </c>
      <c r="C21">
        <v>520</v>
      </c>
    </row>
    <row r="22" spans="1:3" ht="12.75">
      <c r="A22" t="s">
        <v>5</v>
      </c>
      <c r="C22">
        <v>0</v>
      </c>
    </row>
    <row r="23" spans="1:3" ht="12.75">
      <c r="A23" t="s">
        <v>8</v>
      </c>
      <c r="C23">
        <v>1090</v>
      </c>
    </row>
    <row r="24" spans="1:3" ht="12.75">
      <c r="A24" t="s">
        <v>20</v>
      </c>
      <c r="C24">
        <v>2342</v>
      </c>
    </row>
    <row r="25" spans="1:3" ht="12.75">
      <c r="A25" t="s">
        <v>24</v>
      </c>
      <c r="B25" t="s">
        <v>23</v>
      </c>
      <c r="C25">
        <v>412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ИФМ</dc:creator>
  <cp:keywords/>
  <dc:description/>
  <cp:lastModifiedBy>nmruser</cp:lastModifiedBy>
  <cp:lastPrinted>2019-03-14T06:41:00Z</cp:lastPrinted>
  <dcterms:created xsi:type="dcterms:W3CDTF">2013-10-02T11:51:52Z</dcterms:created>
  <dcterms:modified xsi:type="dcterms:W3CDTF">2019-09-16T10:15:20Z</dcterms:modified>
  <cp:category/>
  <cp:version/>
  <cp:contentType/>
  <cp:contentStatus/>
</cp:coreProperties>
</file>